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firstSheet="1" activeTab="1"/>
  </bookViews>
  <sheets>
    <sheet name="PO_SUPERADO" sheetId="1" state="hidden" r:id="rId1"/>
    <sheet name="FORMULARIO 7" sheetId="2" r:id="rId2"/>
    <sheet name="VAP" sheetId="3" state="hidden" r:id="rId3"/>
  </sheets>
  <definedNames>
    <definedName name="_xlnm.Print_Area" localSheetId="1">'FORMULARIO 7'!$A$1:$G$168</definedName>
    <definedName name="_xlnm.Print_Area" localSheetId="0">'PO_SUPERADO'!$A$1:$H$111</definedName>
    <definedName name="_xlnm.Print_Area" localSheetId="2">'VAP'!$A$1:$G$112</definedName>
  </definedNames>
  <calcPr fullCalcOnLoad="1"/>
</workbook>
</file>

<file path=xl/sharedStrings.xml><?xml version="1.0" encoding="utf-8"?>
<sst xmlns="http://schemas.openxmlformats.org/spreadsheetml/2006/main" count="929" uniqueCount="491">
  <si>
    <t>UNIDAD</t>
  </si>
  <si>
    <t>CANTIDAD TOTAL</t>
  </si>
  <si>
    <t>PRECIO UNITARIO</t>
  </si>
  <si>
    <t>TRABAJOS PRELIMINARES</t>
  </si>
  <si>
    <t>ml</t>
  </si>
  <si>
    <t>gl</t>
  </si>
  <si>
    <t>u</t>
  </si>
  <si>
    <t>m²</t>
  </si>
  <si>
    <t>PINTURA</t>
  </si>
  <si>
    <t>VARIOS - TRABAJOS FINALES</t>
  </si>
  <si>
    <t>TOTAL</t>
  </si>
  <si>
    <t xml:space="preserve">DESMONTES Y DEMOLICIONES </t>
  </si>
  <si>
    <t xml:space="preserve">REVOQUE GRUESO Y FINO INTERIOR </t>
  </si>
  <si>
    <t>PISOS</t>
  </si>
  <si>
    <t>m2</t>
  </si>
  <si>
    <t xml:space="preserve">ALBAÑILERIA </t>
  </si>
  <si>
    <t>AZOTADO Y REVOQUE HIDROFUGO INTERIOR EN BAÑOS Y LOCALES HUMEDOS</t>
  </si>
  <si>
    <t xml:space="preserve"> </t>
  </si>
  <si>
    <t>DEMOLICION  DE MAMPOSTERIAS</t>
  </si>
  <si>
    <t>CARPETA DE NIVELACION</t>
  </si>
  <si>
    <t>PICADO DE REVOQUE</t>
  </si>
  <si>
    <t>DEMOLICION DE SOLADO EXISTENTE</t>
  </si>
  <si>
    <t>días</t>
  </si>
  <si>
    <t>REPLANTEO DE OBRA, PLANIALTIMETRÍA Y CATEOS</t>
  </si>
  <si>
    <t>DESCRIPCION DE LOS TRABAJOS</t>
  </si>
  <si>
    <t>PRECIO TOTAL</t>
  </si>
  <si>
    <t>TOTAL DEL RUBRO</t>
  </si>
  <si>
    <t>DESMONTE DE ARTEFACTOS SANITARIOS</t>
  </si>
  <si>
    <t>G O B I E R N O   DE   LA   C I U D A D   DE   B U E N O S   A I R E S</t>
  </si>
  <si>
    <t>MINISTERIO DESARROLLO URBANO Y TRANSPORTE</t>
  </si>
  <si>
    <t>SECRETARIA DE TRANSPORTE</t>
  </si>
  <si>
    <t>DIRECCION GENERAL DE INFRAESTRUCTURA DE TRANSPORTE</t>
  </si>
  <si>
    <t>INSTALACION SANITARIA</t>
  </si>
  <si>
    <t>1.0</t>
  </si>
  <si>
    <t>1.1</t>
  </si>
  <si>
    <t>1.2</t>
  </si>
  <si>
    <t>1.3</t>
  </si>
  <si>
    <t>1.4</t>
  </si>
  <si>
    <t>1.5</t>
  </si>
  <si>
    <t>2.0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</si>
  <si>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</si>
  <si>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</si>
  <si>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</si>
  <si>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</si>
  <si>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</si>
  <si>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</si>
  <si>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</si>
  <si>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</si>
  <si>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</si>
  <si>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</si>
  <si>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</si>
  <si>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</si>
  <si>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</si>
  <si>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</si>
  <si>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</si>
  <si>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4.0</t>
  </si>
  <si>
    <t>4.1</t>
  </si>
  <si>
    <t>4.2</t>
  </si>
  <si>
    <t>5.0</t>
  </si>
  <si>
    <t>5.1</t>
  </si>
  <si>
    <t>5.2</t>
  </si>
  <si>
    <t>6.0</t>
  </si>
  <si>
    <t>7.0</t>
  </si>
  <si>
    <t>7.1</t>
  </si>
  <si>
    <t>7.2</t>
  </si>
  <si>
    <t>7.3</t>
  </si>
  <si>
    <t>7.4</t>
  </si>
  <si>
    <t>7.5</t>
  </si>
  <si>
    <t>7.6</t>
  </si>
  <si>
    <t>8.0</t>
  </si>
  <si>
    <t>9.0</t>
  </si>
  <si>
    <t>10.0</t>
  </si>
  <si>
    <t>11.0</t>
  </si>
  <si>
    <t>CIELORRASO SUSPENDIDO DE PLACAS DE YESO JUNTA TOMADA CON BUÑA PERIMETRAL</t>
  </si>
  <si>
    <t xml:space="preserve"> REVESTIMIENTOS</t>
  </si>
  <si>
    <t>DESMONTE DE GRIFERIAS</t>
  </si>
  <si>
    <t>INSTALACIÓN ELÉCTRICA (INCLUYE ARTEFACTOS)  TELEFONIA Y RED DE DATOS</t>
  </si>
  <si>
    <t>PRESUPUESTO OFICIAL</t>
  </si>
  <si>
    <t>CARPINTERIAS</t>
  </si>
  <si>
    <t>UBICACIÓN: CHACABUCO 1261</t>
  </si>
  <si>
    <t>RETIRO DE PUERTA</t>
  </si>
  <si>
    <t>RETIRO DE EQUIPAMIENTO EXISTENTE</t>
  </si>
  <si>
    <t>DESMONTE DE MESADAS</t>
  </si>
  <si>
    <t>DEMOLICIÓN DE INSTALACIÓN SANITARIA</t>
  </si>
  <si>
    <t>DEMOLICIÓN DE INSTALACIÓN ELÉCTRICA</t>
  </si>
  <si>
    <t>DESMONTE DE ARTEFACTOS DE ILUMINACIÓN</t>
  </si>
  <si>
    <t>RETIRO DE PUERTAS CORREDIZAS</t>
  </si>
  <si>
    <t>DESMONTE DE CIELORRASO SUSPENDIDO REGISTRABLE 60X60</t>
  </si>
  <si>
    <t>RETIRO DE ESPEJOS</t>
  </si>
  <si>
    <t>RETIRO DE CERRAMIENTO VERTICAL</t>
  </si>
  <si>
    <t>DEMOLICIÓN DE REVESTIMIENTO VERTICAL EN LOCALES SANITARIOS</t>
  </si>
  <si>
    <t>EJECUCIÓN DE TABIQUES DE ROCA DE YESO</t>
  </si>
  <si>
    <t>REPARACIÓN DE CIELORRASO DE PLACA DE YESO EN BAÑOS</t>
  </si>
  <si>
    <t>EJECUCIÓN DE CIELORRASO SUSPENDIDO REGISTRABLE</t>
  </si>
  <si>
    <t xml:space="preserve">REVESTIMIENTO CERÁMICO 40x40CM </t>
  </si>
  <si>
    <t>PROVISIÓN Y COLOCACIÓN DE MUEBLE BAJO MESADA DE MELAMINA</t>
  </si>
  <si>
    <t>PROVISIÓN Y COLOCACIÓN DE ESPEJOS DE 6MM</t>
  </si>
  <si>
    <t>PROVISIÓN Y COLOCACIÓN DE MAMPARA DE VIDRIO PARA DUCHA</t>
  </si>
  <si>
    <t>PROVISIÓN Y COLOCACIÓN DE TERMOTANQUE ELÉCTRICO DE 60LTS BAJO MESADA</t>
  </si>
  <si>
    <t>PROVISIÓN Y COLOCACIÓN DE INODORO LARGO CON DEPÓSITO Y ASIENTO</t>
  </si>
  <si>
    <t>PROVISIÓN Y COLOCACIÓN DE MINGITORIO</t>
  </si>
  <si>
    <t xml:space="preserve">PROVISIÓN Y COLOCACIÓN DE LAVATORIO </t>
  </si>
  <si>
    <t>PROVISIÓN Y COLOCACIÓN DE GRIFERIA MONOCOMANDO PILETA DE COCINA</t>
  </si>
  <si>
    <t>PROVISIÓN Y COLOCACIÓN DE GRIFERIA PRESSMATIC PARA BAÑOS</t>
  </si>
  <si>
    <t>PROVISIÓN Y COLOCACIÓN DE GRIFERIA MONOCOMANDO PARA DUCHA</t>
  </si>
  <si>
    <t>PROVISIÓN Y COLOCACIÓN DE DISPENSER DE TOALLAS DE PAPEL</t>
  </si>
  <si>
    <t>PROVISIÓN Y COLOCACIÓN DE DISPENSER DE JABÓN</t>
  </si>
  <si>
    <t xml:space="preserve">PROVISIÓN Y COLOCACIÓN DE PUERTAS PLACA PARA RECEPTACULOS DE BAÑO </t>
  </si>
  <si>
    <t xml:space="preserve">PROVISIÓN Y COLOCACIÓN DE PUERTAS DE CHAPA </t>
  </si>
  <si>
    <t>PROVISIÓN Y COLOCACIÓN DE MESADA DE GRANITO 20 MM</t>
  </si>
  <si>
    <t>8.1</t>
  </si>
  <si>
    <t>8.2</t>
  </si>
  <si>
    <t>8.3</t>
  </si>
  <si>
    <t>9.1</t>
  </si>
  <si>
    <t>9.2</t>
  </si>
  <si>
    <t>9.3</t>
  </si>
  <si>
    <t>10.1</t>
  </si>
  <si>
    <t>DOCUMENTACIÓN GRAFICA - PROYECTO EJECUTIVO</t>
  </si>
  <si>
    <t xml:space="preserve">CARTEL DE OBRA Y RENDERS </t>
  </si>
  <si>
    <t xml:space="preserve">CERCO DE OBRA- CIERRES PARCIALES                                                                              </t>
  </si>
  <si>
    <t>PLAN DE HIGIENE Y SEGURIDAD</t>
  </si>
  <si>
    <t>OBRA: PUESTA EN VALOR BASE DE AGENTES PIEDRAS, DIRECCION GENERAL DE AGENTES DE TRÁNSITO</t>
  </si>
  <si>
    <t>Plazo obra (días): 75 días</t>
  </si>
  <si>
    <t>Fecha de confección: Octubre 2017</t>
  </si>
  <si>
    <t>MARMOLERIA Y EQUIPAMIENTO</t>
  </si>
  <si>
    <t>10.2</t>
  </si>
  <si>
    <t>10.3</t>
  </si>
  <si>
    <t>11.1</t>
  </si>
  <si>
    <t>11.2</t>
  </si>
  <si>
    <t>11.4</t>
  </si>
  <si>
    <t>PROVISIÓN Y COLOCACIÓN DE SOLADO VINILICOS (INCLUYE EXCAVACIÓN,CONTRAPISO Y CARPETA A MAQUINA)</t>
  </si>
  <si>
    <t>PROVISIÓN Y COLOCACIÓN DE PILETA DE COCINA</t>
  </si>
  <si>
    <t>PROVICION Y COLOCACION DE MUEBLE DE GUARDADO</t>
  </si>
  <si>
    <t>GL</t>
  </si>
  <si>
    <t>7.7</t>
  </si>
  <si>
    <t>7.8</t>
  </si>
  <si>
    <t>7.9</t>
  </si>
  <si>
    <t>7.10</t>
  </si>
  <si>
    <t>7.11</t>
  </si>
  <si>
    <t>NUEVO TENDIDO DE CAÑERIAS Y ACCESORIOS (INCLUYE PROVISIÓN Y COLOCACIÓN)</t>
  </si>
  <si>
    <t>LIMPIEZA PERIODICA Y FINAL DE OBRA</t>
  </si>
  <si>
    <t>Superficie: 282 m2</t>
  </si>
  <si>
    <t>REVESTIMIENTO TIPO ESTUCADO ANTIGUO O SIMILAR</t>
  </si>
  <si>
    <t>PULIDO DE SOLADO GRANITICO EXISTENTE</t>
  </si>
  <si>
    <t>PROVISIÓN Y EJECUCIÓN DE PINTURA LATEX EN MUROS Y COLUMNAS</t>
  </si>
  <si>
    <t>PROVISIÓN Y EJECUCIÓN DE PINTURA LATEX EN LOSA CASETONADA</t>
  </si>
  <si>
    <t>PROVISIÓN Y EJECUCIÓN DE PINTURA LATEX EN CIELORRASO DE PLACA ROCA DE YESO</t>
  </si>
  <si>
    <t>PROVISIÓN Y EJECUCIÓN DE PINTURA ACRILICA PARA LADRILLO VISTO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</si>
  <si>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</si>
  <si>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</si>
  <si>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</si>
  <si>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</si>
  <si>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</si>
  <si>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</si>
  <si>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</si>
  <si>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</si>
  <si>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</si>
  <si>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6.12</t>
  </si>
  <si>
    <t>6.13</t>
  </si>
  <si>
    <t>CIRCUITOS DE TOMA CORRIENTE</t>
  </si>
  <si>
    <t xml:space="preserve">TOMA COMÚN 10A-TUG </t>
  </si>
  <si>
    <t>TOMA ESPECIAL 20A-TUE</t>
  </si>
  <si>
    <t>BANDEJA PORTACABLES</t>
  </si>
  <si>
    <t>ACCESORIOS PARA BANDEJA PORTACABLES</t>
  </si>
  <si>
    <t>PROVISIÓN Y COLOCACIÓN DE ARTEFACTOS DE ILUMINACIÓN DE EMBUTIR</t>
  </si>
  <si>
    <t>PROVISIÓN Y COLOCACIÓN DE ARTEFACTOS DE EMERGENCIA AUTÓNOMOS TIPO ATOMLUX</t>
  </si>
  <si>
    <t>PROVISIÓN E INSTALACIÓN DE ARTEFACTO DE ILUMINACIÓN DE APLICAR</t>
  </si>
  <si>
    <t>PROVISIÓN E INSTALACIÓN DE ARTEFACTO ÓPTICA CIRCULAR FLUORESCENTE</t>
  </si>
  <si>
    <t>PROVISIÓN E INSTALACIÓN DE TIRA DE LED</t>
  </si>
  <si>
    <t>PROVISIÓN E INSTALACIÓN DE ARTEFACTO TIPO CAMPANA</t>
  </si>
  <si>
    <t>TABLERO  SECCIONAL (ARMADO Y PUESTA EN MARCHA)</t>
  </si>
  <si>
    <t>un</t>
  </si>
  <si>
    <t xml:space="preserve">un </t>
  </si>
  <si>
    <t xml:space="preserve">CERRAMIENTO VERTICAL DE ALUMINIO ANODIZADO </t>
  </si>
  <si>
    <t>CIRCUITO DE BOCAS DE ILUMINACIÓN</t>
  </si>
  <si>
    <t>6.3.1</t>
  </si>
  <si>
    <t>6.3.2</t>
  </si>
  <si>
    <t>AISLACIÓN HORIZONTAL CEMENTICIA SOBRE CONTRAPISOS</t>
  </si>
  <si>
    <t>611.1</t>
  </si>
  <si>
    <t>lumenac lux</t>
  </si>
  <si>
    <t>PROVISION Y COLOCACION DE BOCAS DE DATOS DESDE SALA DE RACKS O CENTRAL TELEFONICA HASTA PUESTOS DE TRABAJO</t>
  </si>
  <si>
    <t xml:space="preserve">ver </t>
  </si>
  <si>
    <t>PROVISIÓN Y COLOCACIÓN DE PUERTAS PLACA 0.70</t>
  </si>
  <si>
    <t>falta bacha de acero inoxidable</t>
  </si>
  <si>
    <t>cambiar nombre en pliego?</t>
  </si>
  <si>
    <t>ALBAÑILERIA</t>
  </si>
  <si>
    <t>5.3</t>
  </si>
  <si>
    <t>1.6</t>
  </si>
  <si>
    <t>1.7</t>
  </si>
  <si>
    <t>3.0</t>
  </si>
  <si>
    <t>HORMIGON ARMADO</t>
  </si>
  <si>
    <t>CONTRAPISOS Y CARPETAS</t>
  </si>
  <si>
    <t>INSTALACION CONTRA INCENDIO</t>
  </si>
  <si>
    <t>12.0</t>
  </si>
  <si>
    <t>13.0</t>
  </si>
  <si>
    <t>15.0</t>
  </si>
  <si>
    <t>CERCO DE OBRA</t>
  </si>
  <si>
    <t>ESTUDIOS PREVIOS DE SUELO</t>
  </si>
  <si>
    <t>PROYECTO DE HIGIENE Y SEGURIDAD</t>
  </si>
  <si>
    <t>PROVISION Y MONTAJE CARTEL DE OBRA</t>
  </si>
  <si>
    <t>12.1</t>
  </si>
  <si>
    <t>13.1</t>
  </si>
  <si>
    <t>15.1</t>
  </si>
  <si>
    <t>15.2</t>
  </si>
  <si>
    <t>15.4</t>
  </si>
  <si>
    <t>16.2</t>
  </si>
  <si>
    <t>ML</t>
  </si>
  <si>
    <t>U</t>
  </si>
  <si>
    <t>M2</t>
  </si>
  <si>
    <t>M3</t>
  </si>
  <si>
    <t>TRAMITES Y PERMISOS</t>
  </si>
  <si>
    <t>1.8</t>
  </si>
  <si>
    <t>DIAS</t>
  </si>
  <si>
    <t>EQUIPAMIENTO</t>
  </si>
  <si>
    <t>15.3</t>
  </si>
  <si>
    <t>PRESENTACION MUNICIPAL Y PLANOS CONFORME A OBRA</t>
  </si>
  <si>
    <t>HERRERIA</t>
  </si>
  <si>
    <t xml:space="preserve">INSTALACION ELECTRICA, CCTV, TELEFONIA Y DATOS </t>
  </si>
  <si>
    <t>INSTALACION TERMOMECANICA</t>
  </si>
  <si>
    <t>TRABAJOS FINALES</t>
  </si>
  <si>
    <t>CONSTRUCCION EN SECO</t>
  </si>
  <si>
    <t>ESCRITORIO INDIVIDUAL</t>
  </si>
  <si>
    <t>16.0</t>
  </si>
  <si>
    <t xml:space="preserve">SILLAS DE ESCRITORIO </t>
  </si>
  <si>
    <t>MUEBLE ALTO DE GUARDADO OFICINA</t>
  </si>
  <si>
    <t>DOCUMENTACION GRAFICA - PROYECTO EJECUTIVO</t>
  </si>
  <si>
    <t>3.1</t>
  </si>
  <si>
    <t>3.2</t>
  </si>
  <si>
    <t>DEMOLICIONES</t>
  </si>
  <si>
    <t>BAÑOS QUIMICOS</t>
  </si>
  <si>
    <t xml:space="preserve">FUENTE </t>
  </si>
  <si>
    <t>OBSERVACIONES</t>
  </si>
  <si>
    <t>VER EN OBRA</t>
  </si>
  <si>
    <t>CLARIN ARQ</t>
  </si>
  <si>
    <t>1085*1.7 - AV BRASIL CONSIDERA 2032$</t>
  </si>
  <si>
    <t>MARTO</t>
  </si>
  <si>
    <t>AJUSTADO A INFL 1.4</t>
  </si>
  <si>
    <t>PLIEGO / CLARIN ARQ</t>
  </si>
  <si>
    <t>2*1.50* 4039*1.7</t>
  </si>
  <si>
    <t>AJUSTADO A INFL 1.2</t>
  </si>
  <si>
    <t>SE TOMA VIGAS FUNDACION 60KG/M3 INCL ENCOFRADOS</t>
  </si>
  <si>
    <t>ITEM "AISLACION DE SOTANO CEMENTICIA"</t>
  </si>
  <si>
    <t>MERCADOLIBRE</t>
  </si>
  <si>
    <t>IDEM TENIENDO EN CUENTA CORTES Y DESPERDICIOS DEL PORCELANATO</t>
  </si>
  <si>
    <t>SEGÚN METRO2 ESPEJO FLOAT 6MM</t>
  </si>
  <si>
    <t>MARCA CONSULOGO</t>
  </si>
  <si>
    <t>CONTRAPISO DE HORMIGON H8 E=12CM</t>
  </si>
  <si>
    <t>16.1</t>
  </si>
  <si>
    <t>16.3</t>
  </si>
  <si>
    <t>$/M2</t>
  </si>
  <si>
    <t>14.0</t>
  </si>
  <si>
    <t>14.1</t>
  </si>
  <si>
    <t>OBRA: PLAYA DE REGULACION SUCRE</t>
  </si>
  <si>
    <t>UBICACIÓN: MARISCAL JOSE ANTONIO SUCRE 1600</t>
  </si>
  <si>
    <t>4.3</t>
  </si>
  <si>
    <t>5.4</t>
  </si>
  <si>
    <t>5.5</t>
  </si>
  <si>
    <t xml:space="preserve">INSTALACION SANITARIA  </t>
  </si>
  <si>
    <t xml:space="preserve">INSTALACION CONTRA INCENDIO </t>
  </si>
  <si>
    <t xml:space="preserve">INSTALACION TERMOMECANICA </t>
  </si>
  <si>
    <t>PAISAJISMO</t>
  </si>
  <si>
    <t>TIERRA NEGRA PARA CANTEROS</t>
  </si>
  <si>
    <t>CESPED</t>
  </si>
  <si>
    <t>PLANTINES AGAPANTHUS</t>
  </si>
  <si>
    <t>MUEBLE DE COMEDOR BAJO MESADA</t>
  </si>
  <si>
    <t>DEMOLICION DE CORDON VEREDA</t>
  </si>
  <si>
    <t>FRESADO Y RETIRO DE CARPETA DE ASFALTO</t>
  </si>
  <si>
    <t>SE TOMA PROMEDIO VºFº CON VºQ 180KG/M3</t>
  </si>
  <si>
    <t>Fecha de confección: JUNIO 2019</t>
  </si>
  <si>
    <t>CORRIMIENTO DE SUMIDEROS</t>
  </si>
  <si>
    <t>DEMOLICION DE HORMIGON PEINADO EN VEREDA</t>
  </si>
  <si>
    <t>DEMOLICION DE CONTRAPISO EN VEREDA</t>
  </si>
  <si>
    <t>DEMOLICION DE VADOS</t>
  </si>
  <si>
    <t>MICROFRESADO DH EXISTENTE</t>
  </si>
  <si>
    <t xml:space="preserve">BALDOSA CEMENTICIA GRIS 40X40 64 PANES </t>
  </si>
  <si>
    <t xml:space="preserve">BALDOSA CEMENTICIA AMARILLA TACTIL 40X40 64 PANES </t>
  </si>
  <si>
    <t>HºAº (H21) EN TAPADA ENCUENTRO POSTES Y BLOQUES CEMENTO</t>
  </si>
  <si>
    <t>HºAº (H30) EN ANCLAJE POSTES DE CERCO PERIMETRAL</t>
  </si>
  <si>
    <t>CONSTRUCCION OFICINAS Y BAÑOS EN BLOQUES DE Hº</t>
  </si>
  <si>
    <t>CONSTRUCCION OFICINAS Y BAÑOS EN SECO</t>
  </si>
  <si>
    <t>DEMOLICION DE CALZADA DE HORMIGON</t>
  </si>
  <si>
    <t>RETIRO DE TORTUGONES</t>
  </si>
  <si>
    <t>HºAº (H30) EN CALZADA</t>
  </si>
  <si>
    <t>TABIQUE LADRILLO COMUN REPARACIONES EN MEDIANERA</t>
  </si>
  <si>
    <t>REVOQUE HIDROFUGO REPARACIONES MEDIANERA</t>
  </si>
  <si>
    <t>PINTURAS</t>
  </si>
  <si>
    <t>REJAS ELECTROSOLDADAS 1.80M SOBRE MURETES</t>
  </si>
  <si>
    <t>HºAº (H30) PUNTERA ISLETA VIRREY VERTIZ</t>
  </si>
  <si>
    <t>PISO</t>
  </si>
  <si>
    <t>CONTRAPISO</t>
  </si>
  <si>
    <t>ESTRUCTURA HºAº</t>
  </si>
  <si>
    <t>CARPETA ASFALTO EN VIRREY VERTIZ</t>
  </si>
  <si>
    <t>CORREDOR CORDOBA</t>
  </si>
  <si>
    <t>PO VEREDAS PASEO COLON</t>
  </si>
  <si>
    <t>BOEDO</t>
  </si>
  <si>
    <t>HUERGO MADERO</t>
  </si>
  <si>
    <t>2 PASADAS</t>
  </si>
  <si>
    <t>ESTRUCTURA HºAº * ,2</t>
  </si>
  <si>
    <t>FRESADO + 1,7</t>
  </si>
  <si>
    <t>DESPLAZAMIENTO DE SEMAFOROS EXISTENTES</t>
  </si>
  <si>
    <t xml:space="preserve">PROYECTO STEEL </t>
  </si>
  <si>
    <t>VIVIENDA UNIFAMILIAR</t>
  </si>
  <si>
    <t>VADOS DE HºA (H30) INCLUYE BALDOSAS AMARILLO TACTIL</t>
  </si>
  <si>
    <t>QUIEBRES EN MURETE EXISTENTE PARA ESTRUCTURA DE REJAS</t>
  </si>
  <si>
    <t>CONTRAPISO DE CASCOTE ARMADO</t>
  </si>
  <si>
    <t>CARPETA DE NIVELACION EN VEREDAS</t>
  </si>
  <si>
    <t>HºAº (H30) PEINADO EN VEREDAS</t>
  </si>
  <si>
    <t xml:space="preserve">BLOQUE DE HORMIGON P/MURETE 20X20X40CM (INCLUYE CAJON HIDROFUGO EN ARRANQUES) </t>
  </si>
  <si>
    <t>BLOQUE DE HORMIGON P/MURETE 10X20X40CM (INCLUYE CAJON HIDROFUGO EN ARRANQUES)</t>
  </si>
  <si>
    <t>BLOQUES 2020</t>
  </si>
  <si>
    <t>BLOQUES 1020</t>
  </si>
  <si>
    <t>M3 A M2 (/30)</t>
  </si>
  <si>
    <t>GRUESO AL EXTERIOR</t>
  </si>
  <si>
    <t>LATEX ACRILICO EN MEDIANERAS</t>
  </si>
  <si>
    <t>LATEX ACRILICO EXT</t>
  </si>
  <si>
    <t>DEMARCACION EN PARKING DE COLECTIVOS</t>
  </si>
  <si>
    <t>MOSAICO GRANITICO A LA CAL</t>
  </si>
  <si>
    <t>PARANTE DE SUJECION DE REJAS</t>
  </si>
  <si>
    <t>TDL</t>
  </si>
  <si>
    <t>COTIZACION EN DOLARES TDL JULIO '18 AJUSTADO</t>
  </si>
  <si>
    <t>SEGÚN TDL AJUSTADO</t>
  </si>
  <si>
    <t>TDL / STABILE</t>
  </si>
  <si>
    <t>DEMOLICION DE CALZADA + DEMOLICION POR HIDRANTES</t>
  </si>
  <si>
    <t>CALZADA NUEVA + CALZADA HIDRANTES</t>
  </si>
  <si>
    <t>PORTONES DE ACCESO Y SALIDA C/ESTRUCTURA</t>
  </si>
  <si>
    <t>CHACABUCO SEDE</t>
  </si>
  <si>
    <t>3.3</t>
  </si>
  <si>
    <t>3.4</t>
  </si>
  <si>
    <t>3.5</t>
  </si>
  <si>
    <t>3.6</t>
  </si>
  <si>
    <t>14.2</t>
  </si>
  <si>
    <t>14.3</t>
  </si>
  <si>
    <t>CONSTR  EN SECO</t>
  </si>
  <si>
    <t>CONSTR BLOQUES Hº</t>
  </si>
  <si>
    <t>INC</t>
  </si>
  <si>
    <t>INSTALACION PLUVIAL</t>
  </si>
  <si>
    <t>Plazo obra (días): 120</t>
  </si>
  <si>
    <t>SOLADOS, ZOCALOS Y REVESTIMIENTOS</t>
  </si>
  <si>
    <t>ESPEJOS Y MESADAS</t>
  </si>
  <si>
    <t>3.7</t>
  </si>
  <si>
    <t>3.8</t>
  </si>
  <si>
    <t>HORMIGONES</t>
  </si>
  <si>
    <t>ENCUADRE Y ADINTELADO DE VANOS</t>
  </si>
  <si>
    <t>8.4</t>
  </si>
  <si>
    <t>8.5</t>
  </si>
  <si>
    <t>17.0</t>
  </si>
  <si>
    <t>17.1</t>
  </si>
  <si>
    <t>18.1</t>
  </si>
  <si>
    <t>14.4</t>
  </si>
  <si>
    <t>14.5</t>
  </si>
  <si>
    <t>14.6</t>
  </si>
  <si>
    <t>17.2</t>
  </si>
  <si>
    <t>19.0</t>
  </si>
  <si>
    <t>18.0</t>
  </si>
  <si>
    <t>EQUIPAMIENTO DE SEGURIDAD VIAL</t>
  </si>
  <si>
    <t>DESMONTE Y RETIRO DE TOPES DE ESTACIONAMIENTO</t>
  </si>
  <si>
    <t>DESMONTE Y RETIRO DE CIERRE PROVISORIO DE PREDIO</t>
  </si>
  <si>
    <t>DESMONTE DE REJAS DEL CANIL PARA RECOLOCACION</t>
  </si>
  <si>
    <t>DEMOLICION Y RETIRO DE MURETE PERIMETRAL</t>
  </si>
  <si>
    <t xml:space="preserve">DEMOLICION Y RETIRO DE SOLADO DE Hº PEINADO </t>
  </si>
  <si>
    <t>HºAº (H21) PARA PLATEA DE FUNDACION (INCLUYE EXCAVACIÓN)</t>
  </si>
  <si>
    <t>HºAº (H21) CUBIERTA TRANSITABLE</t>
  </si>
  <si>
    <t>REVOQUE COMPLETO CON HIDROFUGO PARA REPARACIONES EN MEDIANERA</t>
  </si>
  <si>
    <t>REVOQUE GRUESO CON HIDROFUGO</t>
  </si>
  <si>
    <t>TABIQUE DE PLACA ROCA DE YESO e:15 CM (INCLUYE AISLACION)</t>
  </si>
  <si>
    <t>DEMOLICION Y RETIRO DE SOLADO DE INTERTRABADO</t>
  </si>
  <si>
    <t>DEMOLICION Y RETIRO DE VADO PEATONAL</t>
  </si>
  <si>
    <t>MEMBRANA ALUMINIZADA SOBRE CARPETA DE NIVELACIÓN (CUBIERTA)</t>
  </si>
  <si>
    <t>1.9</t>
  </si>
  <si>
    <t>3.9</t>
  </si>
  <si>
    <t>LIMPIEZA INICIAL DE OBRA</t>
  </si>
  <si>
    <t>DEMOLICION Y RETIRO DE CORDONES DE Hº</t>
  </si>
  <si>
    <t>3.10</t>
  </si>
  <si>
    <t>HºAº (H30) PARA CORDONES</t>
  </si>
  <si>
    <t>20.0</t>
  </si>
  <si>
    <t>20.2</t>
  </si>
  <si>
    <t>VARIOS</t>
  </si>
  <si>
    <t xml:space="preserve">HºAº (H21) PARA COLUMNAS </t>
  </si>
  <si>
    <t xml:space="preserve">HºAº (H21) PARA VIGAS </t>
  </si>
  <si>
    <t>OBRADOR Y BAÑOS QUIMICOS</t>
  </si>
  <si>
    <t>DEMOLICION Y RETIRO DE SOLADO DE BALDOSAS 64 PANES (INCLUYE CONTRAPISO)</t>
  </si>
  <si>
    <t>DESMONTE Y RETIRO DE CERCO OLIMPICO</t>
  </si>
  <si>
    <t xml:space="preserve">DESMONTE Y RETIRO DE TIERRA </t>
  </si>
  <si>
    <t>HºAº (H21) PORTICOS ACCESO</t>
  </si>
  <si>
    <t>HºAº (H21) PARA VADOS PEATONALES</t>
  </si>
  <si>
    <t>Hº  (H30) PARA CALZADA</t>
  </si>
  <si>
    <t>Hº (H17) PARA CALZADA</t>
  </si>
  <si>
    <t>3.11</t>
  </si>
  <si>
    <t>HºAº (H21) PEINADO PARA VEREDA PERIMETRAL</t>
  </si>
  <si>
    <t>3.12</t>
  </si>
  <si>
    <t>HºAº PARA TANQUE DE RESERVA CONTRA INCENDIO (INCLUYE EXCAVACION)</t>
  </si>
  <si>
    <t>DEMOLICION Y RETIRO DE CALZADA DE HORMIGON (INCLUYE ASERRADO)</t>
  </si>
  <si>
    <t>3.13</t>
  </si>
  <si>
    <t>Hº PARA BANQUINAS</t>
  </si>
  <si>
    <t>3.14</t>
  </si>
  <si>
    <t>HºAº PARA POZO DE BOMBEO SECUNDARIO (INCLUYE EXCAVACION)</t>
  </si>
  <si>
    <t>CONTRAPISO ALIVIANADO CON PERLAS DE POLIESTIRENO E=7 CM</t>
  </si>
  <si>
    <t>CONTRAPISO SOBRE PLATEA DE FUNDACIÓN</t>
  </si>
  <si>
    <t>HºAº (H21) PARA MURETE PERIMETRAL (INCLUYE EXCAVACIÓN)</t>
  </si>
  <si>
    <t>HºAº (H21) PARA BANCO DE DISEÑO</t>
  </si>
  <si>
    <t>CONTRAPISO PARA INTERTRABADO Y BALDOSAS DE 64 PANES</t>
  </si>
  <si>
    <t>AISLACION HIDROFUGA PARA TANQUE DE RESERVA CONTRA INCENDIO Y POZO DE BOMBEO SECUNDARIO</t>
  </si>
  <si>
    <t>AISLACION HIDROFUGA HORIZONTAL SOBRE CONTRAPISO</t>
  </si>
  <si>
    <t>TABIQUE DE PLACA ROCA DE YESO RESISTENTE A LA HUMEDAD</t>
  </si>
  <si>
    <t>REVOQUE GRUESO BAJO REVESTIMIENTO</t>
  </si>
  <si>
    <t>REVOQUE GRUESO Y FINO</t>
  </si>
  <si>
    <t>CARPETADO DE CEMENTO RODILLADO PARA SALAS DE MAQUINA</t>
  </si>
  <si>
    <t>16.4</t>
  </si>
  <si>
    <t>PROVISIÓN Y COLOCACIÓN CHIPS CUBRE SUELOS</t>
  </si>
  <si>
    <t>PLANOS CONFORME A OBRA</t>
  </si>
  <si>
    <t>18.2</t>
  </si>
  <si>
    <t>19.1</t>
  </si>
  <si>
    <t>3.15</t>
  </si>
  <si>
    <t>8.6</t>
  </si>
  <si>
    <t>4.4</t>
  </si>
  <si>
    <t>4.5</t>
  </si>
  <si>
    <t>4.6</t>
  </si>
  <si>
    <t>4.7</t>
  </si>
  <si>
    <t>4.8</t>
  </si>
  <si>
    <t>13.2</t>
  </si>
  <si>
    <t>13.3</t>
  </si>
  <si>
    <t>13.4</t>
  </si>
  <si>
    <t>13.5</t>
  </si>
  <si>
    <t>13.6</t>
  </si>
  <si>
    <t>14.7</t>
  </si>
  <si>
    <t>14.8</t>
  </si>
  <si>
    <t>16.5</t>
  </si>
  <si>
    <t>16.6</t>
  </si>
  <si>
    <t>16.7</t>
  </si>
  <si>
    <t>18.3</t>
  </si>
  <si>
    <t>18.4</t>
  </si>
  <si>
    <t>4.9</t>
  </si>
  <si>
    <t>ALQUILER DE MÓDULOS DE OFICINAS</t>
  </si>
  <si>
    <t>PROVISIÓN E INSTALACIÓN DE EQUIPOS DE AIRE ACONDICIONADO FRIO/CALOR</t>
  </si>
  <si>
    <t>DEMARCACIÓN HORIZONTAL PARKING COLECTIVOS</t>
  </si>
  <si>
    <t xml:space="preserve">PROVISIÓN Y COLOCACIÓN DE BALDOSA GRANITICA GRIS 40X40 64 PANES </t>
  </si>
  <si>
    <t>PROVISIÓN Y COLOCACIÓN DE BALDOSA PODOTACTIL COLOR AMARILLA</t>
  </si>
  <si>
    <t>PROVISIÓN Y COLOCACIÓN DE PORCELANATO RECTIFICADO SIMIL CEMENTO GRIS MATE 60X60 INCLUYE ZOCALOS</t>
  </si>
  <si>
    <t>PROVISIÓN Y COLOCACIÓN DE CERAMICA RECTIFICADA PARED 30X60 BLANCO SATINADO EN BAÑOS Y KITCHENETTE</t>
  </si>
  <si>
    <t>PROVISIÓN Y COLOCACIÓN DE INTERTRABADO PEATONAL</t>
  </si>
  <si>
    <t xml:space="preserve">PROVISIÓN Y COLOCACIÓN DE P1 PUERTA DE ABRIR CHAPA INYECTADA - 0,80 X 2,05M </t>
  </si>
  <si>
    <t>PROVISIÓN Y COLOCACIÓN DE P2 PUERTA DE ABRIR CHAPA INYECTADA - 0,90 X 2,05M PCD</t>
  </si>
  <si>
    <t>PROVISIÓN Y COLOCACIÓN DE P3 PUERTA DE ABRIR F60 - 0,90 X 2,05M</t>
  </si>
  <si>
    <t>PROVISIÓN Y COLOCACIÓN DE B1 BOX SANITARIOS</t>
  </si>
  <si>
    <t>PROVISIÓN Y COLOCACIÓN DE B2 BOX SANITARIOS</t>
  </si>
  <si>
    <t>PROVISIÓN Y COLOCACIÓN DE V1 VENTANA BATIENTE LINEA MODENA 2 - 1.20 X 0.60M</t>
  </si>
  <si>
    <t>PROVISIÓN Y COLOCACIÓN DE MESADA DE GRANITO GRIS MARA e: 20MM (45 CM)</t>
  </si>
  <si>
    <t>PROVISIÓN Y COLOCACIÓN DE MESADA DE GRANITO GRIS MARA e: 20MM (60 CM)</t>
  </si>
  <si>
    <t>PROVISIÓN Y COLOCACIÓN DE ESPEJO 4MM DE ESPESOR EN SANITARIOS</t>
  </si>
  <si>
    <t>PROVISIÓN Y COLOCACIÓN DE ESPEJO BASCULANTE PARA BAÑO DE DISCAPACITADOS</t>
  </si>
  <si>
    <t>PROVISIÓN Y COLOCACIÓN DE PORTONES DE ACCESO Y SALIDA VEHICULAR INCLUYE ESTRUCTURA</t>
  </si>
  <si>
    <t>PROVISIÓN Y COLOCACIÓN DE ESTRUCTURA PARA REJA PERIMETRAL ELEVADA</t>
  </si>
  <si>
    <t xml:space="preserve">PROVISIÓN Y COLOCACIÓN DE PUERTAS DE ACCESO PEATONAL </t>
  </si>
  <si>
    <t>PROVISIÓN Y COLOCACIÓN DE PUERTA TRAMPA</t>
  </si>
  <si>
    <t>PROVISIÓN Y COLOCACIÓN DE ESCALERA VERTICAL</t>
  </si>
  <si>
    <t xml:space="preserve">PROVISIÓN Y COLOCACIÓN DE SILLAS DE ESCRITORIO </t>
  </si>
  <si>
    <t>PROVISIÓN Y COLOCACIÓN DE ESCRITORIO INDIVIDUAL 120X60CM</t>
  </si>
  <si>
    <t>PROVISIÓN Y COLOCACIÓN DE BAJO MESADA EN KITCHENETTES</t>
  </si>
  <si>
    <t>PROVISIÓN Y COLOCACIÓN DE MUEBLE DE GUARDADO 90X47X90 CM</t>
  </si>
  <si>
    <t>PROVISIÓN Y COLOCACIÓN DE CONJUNTO ROSARIO (4 ASIENTOS + 1 MESA)</t>
  </si>
  <si>
    <t>PROVISIÓN Y COLOCACIÓN DE CESTO ROSARIO</t>
  </si>
  <si>
    <t>PROVISIÓN Y COLOCACIÓN DE HELADERAS BAJO MESADAS</t>
  </si>
  <si>
    <t>TABIQUE DE LADRILLO HUECO 12X18X33 CM</t>
  </si>
  <si>
    <t>PROVISIÓN Y COLOCACIÓN DE AISLACION TERMICA EPS</t>
  </si>
  <si>
    <t>PROVISIÓN Y COLOCACIÓN DE BARRERA DE VAPOR</t>
  </si>
  <si>
    <t>PROVISIÓN Y COLOCACIÓN DE CIELORRASO SUSPENDIDO JUNTA TOMADA PLACA COMUN</t>
  </si>
  <si>
    <t>PROVISIÓN Y COLOCACIÓN DE ENCHAPADO EN PLACA DE ROCA YESO SOBRE INTERIOR DE MUROS EXTERIORES</t>
  </si>
  <si>
    <t>PROVISIÓN Y COLOCACIÓN DE LATEX INTERIOR (INCLUYE ENDUIDO, LIJADO E IMPRIMACION 3 MANOS)</t>
  </si>
  <si>
    <t>PROVISIÓN Y COLOCACIÓN DE LATEX INTERIOR PARA CIELORRASO</t>
  </si>
  <si>
    <t>PROVISIÓN Y COLOCACIÓN DE LATEX ACRILICO EN MEDIANERAS</t>
  </si>
  <si>
    <t>PROVISIÓN Y COLOCACIÓN DE REVOQUE PLASTICO EXTERIOR TEXTURADO COLOR ARENA</t>
  </si>
  <si>
    <t>PROVISIÓN Y COLOCACIÓN DE REVOQUE PLASTICO EXTERIOR TEXTURADO COLOR GRIS</t>
  </si>
  <si>
    <t>PROVISIÓN Y COLOCACIÓN DE REDUCTORES DE VELOCIDAD DE PVC</t>
  </si>
  <si>
    <t>PROVISIÓN Y COLOCACIÓN DE BOLARDO TRIANGULAR</t>
  </si>
  <si>
    <t>1.10</t>
  </si>
  <si>
    <t>1.11</t>
  </si>
  <si>
    <t>ALQUILES DE BAÑOS QUIMICOS PARA MODULOS DE OFICINAS</t>
  </si>
  <si>
    <t>PROVISIÓN Y NIVELACIÓN TIERRA NEGRA</t>
  </si>
  <si>
    <t>INSTALACIÓN ELECTRICA, CCTV, TELEFONIA Y DATOS SEGÚN ANEXO I</t>
  </si>
  <si>
    <t>INSTALACIÓN SANITARIA (INCLUYE TRABAJOS DE ALBAÑILERIA) SEGÚN ANEXO II</t>
  </si>
  <si>
    <t>INSTALACIÓN CONTRA INCENDIO (INCLUYE TRABAJOS DE ALBAÑILERIA) SEGÚN ANEXO II</t>
  </si>
  <si>
    <t>PROVISIÓN Y PLANTACIÓN DE ESPECIES VEGETACION EN CANTERO</t>
  </si>
  <si>
    <t>RECOLOCACIÓN DE REJAS DE CANIL (INCLUYE BASTIDOR DE REFUERZO)</t>
  </si>
  <si>
    <t>PROVISIÓN Y COLOCACIÓN DE REJAS ELECTROSOLDADAS H=2.00M SOBRE MURETES INCLUYE PARANTES</t>
  </si>
  <si>
    <t>DM3</t>
  </si>
  <si>
    <t>PROVISIÓN Y COLOCACIÓN DE REJAS DE METAL DESPLEGADO EN VENTANAS (1,20 x ,60 M)</t>
  </si>
  <si>
    <t>CONSTRUCCIÓN DE PILAR PARA CONEXIÓN DE ENERGÍA ELECTRICA</t>
  </si>
  <si>
    <t>ALQUILER DE GRUPOS ELECTRÓGENO PARA MODULOS DE LOCALES DE CONTROL</t>
  </si>
  <si>
    <t>PLANILLA DE COTIZACION</t>
  </si>
  <si>
    <t>19.2</t>
  </si>
  <si>
    <t>20.1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</si>
</sst>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_(&quot;$&quot;* #,##0.00_);_(&quot;$&quot;* \(#,##0.00\);_(&quot;$&quot;* &quot;-&quot;??_);_(@_)"/>
    <numFmt numFmtId="167" formatCode="&quot;$&quot;\ #,##0.00"/>
    <numFmt numFmtId="168" formatCode="_-* #,##0.00\ _€_-;\-* #,##0.00\ _€_-;_-* &quot;-&quot;??\ _€_-;_-@_-"/>
    <numFmt numFmtId="169" formatCode="_ [$$-2C0A]\ * #,##0.00_ ;_ [$$-2C0A]\ * \-#,##0.00_ ;_ [$$-2C0A]\ * &quot;-&quot;??_ ;_ @_ "/>
    <numFmt numFmtId="170" formatCode="_-[$$-2C0A]\ * #,##0.00_-;\-[$$-2C0A]\ * #,##0.00_-;_-[$$-2C0A]\ * &quot;-&quot;??_-;_-@_-"/>
    <numFmt numFmtId="171" formatCode="0.0"/>
    <numFmt numFmtId="172" formatCode="#."/>
    <numFmt numFmtId="173" formatCode="_ [$€-2]\ * #,##0.00_ ;_ [$€-2]\ * \-#,##0.00_ ;_ [$€-2]\ * &quot;-&quot;??_ "/>
    <numFmt numFmtId="174" formatCode="#.00"/>
    <numFmt numFmtId="175" formatCode="&quot;$&quot;#.00"/>
    <numFmt numFmtId="176" formatCode="#,##0.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b/>
      <u val="single"/>
      <sz val="10"/>
      <name val="Calibri"/>
      <family val="2"/>
    </font>
    <font>
      <sz val="8"/>
      <name val="Calibri"/>
      <family val="2"/>
    </font>
    <font>
      <u val="single"/>
      <sz val="10"/>
      <name val="Calibri"/>
      <family val="2"/>
    </font>
    <font>
      <b/>
      <u val="singleAccounting"/>
      <sz val="10"/>
      <name val="Calibri"/>
      <family val="2"/>
    </font>
    <font>
      <sz val="9"/>
      <color indexed="8"/>
      <name val="Arial"/>
      <family val="2"/>
    </font>
    <font>
      <u val="singleAccounting"/>
      <sz val="10"/>
      <name val="Calibri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color indexed="9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BERNHARD"/>
      <family val="0"/>
    </font>
    <font>
      <sz val="10"/>
      <name val="MS Sans Serif"/>
      <family val="2"/>
    </font>
    <font>
      <b/>
      <sz val="10"/>
      <color indexed="23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0"/>
      <color indexed="55"/>
      <name val="Calibri"/>
      <family val="2"/>
    </font>
    <font>
      <b/>
      <sz val="10"/>
      <color indexed="10"/>
      <name val="Calibri"/>
      <family val="2"/>
    </font>
    <font>
      <b/>
      <sz val="10"/>
      <color indexed="57"/>
      <name val="Calibri"/>
      <family val="2"/>
    </font>
    <font>
      <sz val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 tint="-0.4999699890613556"/>
      <name val="Calibri"/>
      <family val="2"/>
    </font>
    <font>
      <b/>
      <sz val="10"/>
      <color theme="0" tint="-0.3499799966812134"/>
      <name val="Calibri"/>
      <family val="2"/>
    </font>
    <font>
      <b/>
      <sz val="10"/>
      <color rgb="FFFF0000"/>
      <name val="Calibri"/>
      <family val="2"/>
    </font>
    <font>
      <b/>
      <sz val="10"/>
      <color theme="9"/>
      <name val="Calibri"/>
      <family val="2"/>
    </font>
    <font>
      <b/>
      <sz val="12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/>
      <bottom style="hair"/>
    </border>
    <border>
      <left style="medium"/>
      <right style="hair"/>
      <top style="hair"/>
      <bottom style="hair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hair"/>
    </border>
    <border>
      <left style="medium"/>
      <right style="thin"/>
      <top style="thin"/>
      <bottom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/>
      <bottom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medium"/>
      <bottom style="medium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16" fillId="0" borderId="0">
      <alignment/>
      <protection locked="0"/>
    </xf>
    <xf numFmtId="172" fontId="17" fillId="0" borderId="0">
      <alignment/>
      <protection locked="0"/>
    </xf>
    <xf numFmtId="172" fontId="17" fillId="0" borderId="0">
      <alignment/>
      <protection locked="0"/>
    </xf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49" fontId="13" fillId="23" borderId="0" applyNumberFormat="0" applyAlignment="0">
      <protection/>
    </xf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1" applyNumberFormat="0" applyAlignment="0" applyProtection="0"/>
    <xf numFmtId="173" fontId="4" fillId="0" borderId="0" applyFont="0" applyFill="0" applyBorder="0" applyAlignment="0" applyProtection="0"/>
    <xf numFmtId="174" fontId="16" fillId="0" borderId="0">
      <alignment/>
      <protection locked="0"/>
    </xf>
    <xf numFmtId="4" fontId="16" fillId="0" borderId="0">
      <alignment/>
      <protection locked="0"/>
    </xf>
    <xf numFmtId="0" fontId="51" fillId="31" borderId="0" applyNumberFormat="0" applyBorder="0" applyAlignment="0" applyProtection="0"/>
    <xf numFmtId="164" fontId="14" fillId="32" borderId="5" applyNumberFormat="0" applyAlignment="0">
      <protection/>
    </xf>
    <xf numFmtId="176" fontId="14" fillId="32" borderId="5" applyNumberFormat="0" applyAlignment="0">
      <protection/>
    </xf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175" fontId="16" fillId="0" borderId="0">
      <alignment/>
      <protection locked="0"/>
    </xf>
    <xf numFmtId="0" fontId="52" fillId="33" borderId="0" applyNumberFormat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34" borderId="6" applyNumberFormat="0" applyFont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>
      <alignment/>
      <protection/>
    </xf>
    <xf numFmtId="0" fontId="53" fillId="21" borderId="7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5" fillId="35" borderId="0">
      <alignment vertical="center"/>
      <protection/>
    </xf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48" fillId="0" borderId="9" applyNumberFormat="0" applyFill="0" applyAlignment="0" applyProtection="0"/>
    <xf numFmtId="0" fontId="58" fillId="0" borderId="10" applyNumberFormat="0" applyFill="0" applyAlignment="0" applyProtection="0"/>
  </cellStyleXfs>
  <cellXfs count="339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167" fontId="3" fillId="0" borderId="11" xfId="0" applyNumberFormat="1" applyFont="1" applyFill="1" applyBorder="1" applyAlignment="1">
      <alignment horizontal="center" vertical="center"/>
    </xf>
    <xf numFmtId="0" fontId="3" fillId="23" borderId="11" xfId="0" applyFont="1" applyFill="1" applyBorder="1" applyAlignment="1">
      <alignment horizontal="center" vertical="center" wrapText="1"/>
    </xf>
    <xf numFmtId="0" fontId="3" fillId="23" borderId="11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4" fontId="2" fillId="0" borderId="11" xfId="62" applyFont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1" xfId="57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9" fontId="3" fillId="0" borderId="14" xfId="0" applyNumberFormat="1" applyFont="1" applyBorder="1" applyAlignment="1">
      <alignment horizontal="center" vertical="center" wrapText="1"/>
    </xf>
    <xf numFmtId="169" fontId="3" fillId="0" borderId="15" xfId="0" applyNumberFormat="1" applyFont="1" applyBorder="1" applyAlignment="1">
      <alignment horizontal="center" vertical="center" wrapText="1"/>
    </xf>
    <xf numFmtId="0" fontId="2" fillId="36" borderId="0" xfId="0" applyFont="1" applyFill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3" fillId="23" borderId="18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 wrapText="1"/>
    </xf>
    <xf numFmtId="0" fontId="2" fillId="0" borderId="18" xfId="0" applyFont="1" applyBorder="1" applyAlignment="1">
      <alignment/>
    </xf>
    <xf numFmtId="167" fontId="3" fillId="0" borderId="19" xfId="0" applyNumberFormat="1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center" vertical="center"/>
    </xf>
    <xf numFmtId="0" fontId="2" fillId="36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164" fontId="3" fillId="23" borderId="11" xfId="62" applyFont="1" applyFill="1" applyBorder="1" applyAlignment="1">
      <alignment horizontal="center" vertical="center" wrapText="1"/>
    </xf>
    <xf numFmtId="164" fontId="3" fillId="37" borderId="20" xfId="62" applyFont="1" applyFill="1" applyBorder="1" applyAlignment="1">
      <alignment horizontal="center" vertical="center"/>
    </xf>
    <xf numFmtId="164" fontId="3" fillId="0" borderId="11" xfId="62" applyFont="1" applyFill="1" applyBorder="1" applyAlignment="1">
      <alignment horizontal="center" vertical="center"/>
    </xf>
    <xf numFmtId="164" fontId="3" fillId="23" borderId="11" xfId="62" applyFont="1" applyFill="1" applyBorder="1" applyAlignment="1">
      <alignment horizontal="center" vertical="center"/>
    </xf>
    <xf numFmtId="164" fontId="3" fillId="23" borderId="20" xfId="62" applyFont="1" applyFill="1" applyBorder="1" applyAlignment="1">
      <alignment horizontal="center" vertical="center"/>
    </xf>
    <xf numFmtId="164" fontId="2" fillId="0" borderId="11" xfId="62" applyFont="1" applyFill="1" applyBorder="1" applyAlignment="1">
      <alignment horizontal="center" vertical="center"/>
    </xf>
    <xf numFmtId="164" fontId="2" fillId="0" borderId="20" xfId="62" applyFont="1" applyFill="1" applyBorder="1" applyAlignment="1">
      <alignment horizontal="center" vertical="center"/>
    </xf>
    <xf numFmtId="164" fontId="2" fillId="0" borderId="0" xfId="62" applyFont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164" fontId="2" fillId="0" borderId="22" xfId="62" applyFont="1" applyFill="1" applyBorder="1" applyAlignment="1">
      <alignment horizontal="center" vertical="center"/>
    </xf>
    <xf numFmtId="164" fontId="2" fillId="0" borderId="23" xfId="62" applyFont="1" applyFill="1" applyBorder="1" applyAlignment="1">
      <alignment horizontal="center" vertical="center"/>
    </xf>
    <xf numFmtId="0" fontId="2" fillId="38" borderId="24" xfId="0" applyFont="1" applyFill="1" applyBorder="1" applyAlignment="1">
      <alignment horizontal="center" vertical="center"/>
    </xf>
    <xf numFmtId="164" fontId="3" fillId="38" borderId="25" xfId="62" applyFont="1" applyFill="1" applyBorder="1" applyAlignment="1">
      <alignment horizontal="center" vertical="center"/>
    </xf>
    <xf numFmtId="169" fontId="2" fillId="36" borderId="26" xfId="0" applyNumberFormat="1" applyFont="1" applyFill="1" applyBorder="1" applyAlignment="1">
      <alignment horizontal="center" vertical="center" wrapText="1"/>
    </xf>
    <xf numFmtId="170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64" fontId="2" fillId="0" borderId="0" xfId="62" applyFont="1" applyBorder="1" applyAlignment="1">
      <alignment vertical="center" wrapText="1"/>
    </xf>
    <xf numFmtId="44" fontId="2" fillId="0" borderId="0" xfId="0" applyNumberFormat="1" applyFont="1" applyFill="1" applyAlignment="1">
      <alignment vertical="center"/>
    </xf>
    <xf numFmtId="170" fontId="2" fillId="0" borderId="0" xfId="0" applyNumberFormat="1" applyFont="1" applyFill="1" applyAlignment="1">
      <alignment vertical="center"/>
    </xf>
    <xf numFmtId="169" fontId="2" fillId="0" borderId="26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167" fontId="2" fillId="0" borderId="29" xfId="0" applyNumberFormat="1" applyFont="1" applyFill="1" applyBorder="1" applyAlignment="1">
      <alignment horizontal="left" vertical="center"/>
    </xf>
    <xf numFmtId="0" fontId="2" fillId="0" borderId="29" xfId="0" applyFont="1" applyFill="1" applyBorder="1" applyAlignment="1">
      <alignment vertical="center"/>
    </xf>
    <xf numFmtId="2" fontId="2" fillId="23" borderId="11" xfId="0" applyNumberFormat="1" applyFont="1" applyFill="1" applyBorder="1" applyAlignment="1">
      <alignment horizontal="center" vertical="center" wrapText="1"/>
    </xf>
    <xf numFmtId="2" fontId="2" fillId="23" borderId="11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164" fontId="2" fillId="0" borderId="0" xfId="62" applyFont="1" applyFill="1" applyBorder="1" applyAlignment="1">
      <alignment horizontal="center" vertical="center"/>
    </xf>
    <xf numFmtId="0" fontId="3" fillId="37" borderId="3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164" fontId="3" fillId="0" borderId="20" xfId="62" applyFont="1" applyFill="1" applyBorder="1" applyAlignment="1">
      <alignment horizontal="center" vertical="center"/>
    </xf>
    <xf numFmtId="0" fontId="59" fillId="0" borderId="0" xfId="0" applyFont="1" applyAlignment="1">
      <alignment horizontal="justify" vertical="center"/>
    </xf>
    <xf numFmtId="171" fontId="3" fillId="37" borderId="19" xfId="0" applyNumberFormat="1" applyFont="1" applyFill="1" applyBorder="1" applyAlignment="1">
      <alignment horizontal="center" vertical="center"/>
    </xf>
    <xf numFmtId="164" fontId="3" fillId="23" borderId="31" xfId="62" applyFont="1" applyFill="1" applyBorder="1" applyAlignment="1">
      <alignment horizontal="center" vertical="center"/>
    </xf>
    <xf numFmtId="170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0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57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164" fontId="2" fillId="0" borderId="33" xfId="62" applyFont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horizontal="center" vertical="center"/>
    </xf>
    <xf numFmtId="49" fontId="3" fillId="23" borderId="11" xfId="0" applyNumberFormat="1" applyFont="1" applyFill="1" applyBorder="1" applyAlignment="1">
      <alignment horizontal="center" vertical="center"/>
    </xf>
    <xf numFmtId="49" fontId="3" fillId="37" borderId="19" xfId="0" applyNumberFormat="1" applyFont="1" applyFill="1" applyBorder="1" applyAlignment="1">
      <alignment horizontal="center" vertical="center"/>
    </xf>
    <xf numFmtId="49" fontId="3" fillId="23" borderId="11" xfId="0" applyNumberFormat="1" applyFont="1" applyFill="1" applyBorder="1" applyAlignment="1">
      <alignment horizontal="left" vertical="center"/>
    </xf>
    <xf numFmtId="44" fontId="10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 vertical="center"/>
    </xf>
    <xf numFmtId="49" fontId="2" fillId="38" borderId="11" xfId="0" applyNumberFormat="1" applyFont="1" applyFill="1" applyBorder="1" applyAlignment="1">
      <alignment horizontal="center" vertical="center"/>
    </xf>
    <xf numFmtId="0" fontId="2" fillId="38" borderId="18" xfId="0" applyFont="1" applyFill="1" applyBorder="1" applyAlignment="1">
      <alignment/>
    </xf>
    <xf numFmtId="0" fontId="2" fillId="38" borderId="11" xfId="0" applyFont="1" applyFill="1" applyBorder="1" applyAlignment="1">
      <alignment horizontal="center" vertical="center"/>
    </xf>
    <xf numFmtId="2" fontId="2" fillId="38" borderId="11" xfId="0" applyNumberFormat="1" applyFont="1" applyFill="1" applyBorder="1" applyAlignment="1">
      <alignment horizontal="center" vertical="center"/>
    </xf>
    <xf numFmtId="164" fontId="2" fillId="38" borderId="11" xfId="62" applyFont="1" applyFill="1" applyBorder="1" applyAlignment="1">
      <alignment horizontal="center" vertical="center"/>
    </xf>
    <xf numFmtId="164" fontId="2" fillId="38" borderId="22" xfId="62" applyFont="1" applyFill="1" applyBorder="1" applyAlignment="1">
      <alignment horizontal="center" vertical="center"/>
    </xf>
    <xf numFmtId="164" fontId="3" fillId="38" borderId="20" xfId="62" applyFont="1" applyFill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59" fillId="0" borderId="0" xfId="0" applyFont="1" applyBorder="1" applyAlignment="1">
      <alignment horizontal="justify" vertical="center"/>
    </xf>
    <xf numFmtId="0" fontId="2" fillId="0" borderId="0" xfId="0" applyFont="1" applyFill="1" applyBorder="1" applyAlignment="1">
      <alignment/>
    </xf>
    <xf numFmtId="0" fontId="2" fillId="0" borderId="2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39" borderId="19" xfId="0" applyFont="1" applyFill="1" applyBorder="1" applyAlignment="1">
      <alignment horizontal="center" vertical="center"/>
    </xf>
    <xf numFmtId="0" fontId="2" fillId="39" borderId="18" xfId="0" applyFont="1" applyFill="1" applyBorder="1" applyAlignment="1">
      <alignment vertical="center"/>
    </xf>
    <xf numFmtId="0" fontId="2" fillId="39" borderId="26" xfId="0" applyFont="1" applyFill="1" applyBorder="1" applyAlignment="1">
      <alignment horizontal="center" vertical="center" wrapText="1"/>
    </xf>
    <xf numFmtId="2" fontId="2" fillId="39" borderId="26" xfId="0" applyNumberFormat="1" applyFont="1" applyFill="1" applyBorder="1" applyAlignment="1">
      <alignment horizontal="center" vertical="center" wrapText="1"/>
    </xf>
    <xf numFmtId="169" fontId="2" fillId="39" borderId="26" xfId="0" applyNumberFormat="1" applyFont="1" applyFill="1" applyBorder="1" applyAlignment="1">
      <alignment horizontal="center" vertical="center" wrapText="1"/>
    </xf>
    <xf numFmtId="164" fontId="2" fillId="39" borderId="20" xfId="62" applyFont="1" applyFill="1" applyBorder="1" applyAlignment="1">
      <alignment horizontal="center" vertical="center"/>
    </xf>
    <xf numFmtId="0" fontId="2" fillId="39" borderId="11" xfId="0" applyFont="1" applyFill="1" applyBorder="1" applyAlignment="1">
      <alignment horizontal="center" vertical="center"/>
    </xf>
    <xf numFmtId="2" fontId="2" fillId="39" borderId="11" xfId="0" applyNumberFormat="1" applyFont="1" applyFill="1" applyBorder="1" applyAlignment="1">
      <alignment horizontal="center" vertical="center"/>
    </xf>
    <xf numFmtId="164" fontId="2" fillId="39" borderId="11" xfId="62" applyFont="1" applyFill="1" applyBorder="1" applyAlignment="1">
      <alignment horizontal="center" vertical="center"/>
    </xf>
    <xf numFmtId="164" fontId="10" fillId="39" borderId="20" xfId="62" applyFont="1" applyFill="1" applyBorder="1" applyAlignment="1">
      <alignment horizontal="center" vertical="center"/>
    </xf>
    <xf numFmtId="164" fontId="2" fillId="39" borderId="22" xfId="62" applyFont="1" applyFill="1" applyBorder="1" applyAlignment="1">
      <alignment horizontal="center" vertical="center"/>
    </xf>
    <xf numFmtId="164" fontId="3" fillId="39" borderId="20" xfId="62" applyFont="1" applyFill="1" applyBorder="1" applyAlignment="1">
      <alignment horizontal="center" vertical="center"/>
    </xf>
    <xf numFmtId="0" fontId="2" fillId="40" borderId="19" xfId="0" applyFont="1" applyFill="1" applyBorder="1" applyAlignment="1">
      <alignment horizontal="center" vertical="center"/>
    </xf>
    <xf numFmtId="0" fontId="2" fillId="40" borderId="18" xfId="0" applyFont="1" applyFill="1" applyBorder="1" applyAlignment="1">
      <alignment vertical="center"/>
    </xf>
    <xf numFmtId="0" fontId="2" fillId="40" borderId="11" xfId="0" applyFont="1" applyFill="1" applyBorder="1" applyAlignment="1">
      <alignment horizontal="center" vertical="center"/>
    </xf>
    <xf numFmtId="2" fontId="2" fillId="40" borderId="11" xfId="0" applyNumberFormat="1" applyFont="1" applyFill="1" applyBorder="1" applyAlignment="1">
      <alignment horizontal="center" vertical="center"/>
    </xf>
    <xf numFmtId="164" fontId="2" fillId="40" borderId="11" xfId="62" applyFont="1" applyFill="1" applyBorder="1" applyAlignment="1">
      <alignment horizontal="center" vertical="center"/>
    </xf>
    <xf numFmtId="164" fontId="2" fillId="40" borderId="22" xfId="62" applyFont="1" applyFill="1" applyBorder="1" applyAlignment="1">
      <alignment horizontal="center" vertical="center"/>
    </xf>
    <xf numFmtId="164" fontId="2" fillId="40" borderId="20" xfId="62" applyFont="1" applyFill="1" applyBorder="1" applyAlignment="1">
      <alignment horizontal="center" vertical="center"/>
    </xf>
    <xf numFmtId="49" fontId="2" fillId="39" borderId="19" xfId="0" applyNumberFormat="1" applyFont="1" applyFill="1" applyBorder="1" applyAlignment="1">
      <alignment horizontal="center" vertical="center"/>
    </xf>
    <xf numFmtId="49" fontId="2" fillId="39" borderId="11" xfId="0" applyNumberFormat="1" applyFont="1" applyFill="1" applyBorder="1" applyAlignment="1">
      <alignment horizontal="center" vertical="center"/>
    </xf>
    <xf numFmtId="0" fontId="2" fillId="39" borderId="18" xfId="0" applyFont="1" applyFill="1" applyBorder="1" applyAlignment="1">
      <alignment/>
    </xf>
    <xf numFmtId="0" fontId="2" fillId="36" borderId="11" xfId="0" applyFont="1" applyFill="1" applyBorder="1" applyAlignment="1">
      <alignment horizontal="center" vertical="center"/>
    </xf>
    <xf numFmtId="2" fontId="2" fillId="36" borderId="11" xfId="0" applyNumberFormat="1" applyFont="1" applyFill="1" applyBorder="1" applyAlignment="1">
      <alignment horizontal="center" vertical="center"/>
    </xf>
    <xf numFmtId="164" fontId="2" fillId="39" borderId="11" xfId="62" applyNumberFormat="1" applyFont="1" applyFill="1" applyBorder="1" applyAlignment="1">
      <alignment horizontal="center" vertical="center"/>
    </xf>
    <xf numFmtId="2" fontId="3" fillId="39" borderId="20" xfId="0" applyNumberFormat="1" applyFont="1" applyFill="1" applyBorder="1" applyAlignment="1">
      <alignment horizontal="center" vertical="center"/>
    </xf>
    <xf numFmtId="167" fontId="2" fillId="39" borderId="11" xfId="0" applyNumberFormat="1" applyFont="1" applyFill="1" applyBorder="1" applyAlignment="1">
      <alignment horizontal="center" vertical="center"/>
    </xf>
    <xf numFmtId="164" fontId="8" fillId="39" borderId="20" xfId="62" applyFont="1" applyFill="1" applyBorder="1" applyAlignment="1">
      <alignment horizontal="center" vertical="center"/>
    </xf>
    <xf numFmtId="0" fontId="2" fillId="40" borderId="18" xfId="0" applyFont="1" applyFill="1" applyBorder="1" applyAlignment="1">
      <alignment/>
    </xf>
    <xf numFmtId="169" fontId="2" fillId="40" borderId="2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36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169" fontId="3" fillId="0" borderId="15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64" fontId="2" fillId="0" borderId="0" xfId="62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64" fontId="2" fillId="0" borderId="0" xfId="62" applyFont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64" fontId="3" fillId="37" borderId="35" xfId="62" applyFont="1" applyFill="1" applyBorder="1" applyAlignment="1">
      <alignment horizontal="center" vertical="center"/>
    </xf>
    <xf numFmtId="164" fontId="2" fillId="0" borderId="35" xfId="62" applyFont="1" applyFill="1" applyBorder="1" applyAlignment="1">
      <alignment horizontal="center" vertical="center"/>
    </xf>
    <xf numFmtId="166" fontId="3" fillId="16" borderId="35" xfId="62" applyNumberFormat="1" applyFont="1" applyFill="1" applyBorder="1" applyAlignment="1">
      <alignment horizontal="center" vertical="center"/>
    </xf>
    <xf numFmtId="164" fontId="3" fillId="23" borderId="35" xfId="62" applyFont="1" applyFill="1" applyBorder="1" applyAlignment="1">
      <alignment horizontal="center" vertical="center"/>
    </xf>
    <xf numFmtId="164" fontId="10" fillId="0" borderId="0" xfId="62" applyFont="1" applyAlignment="1">
      <alignment horizontal="center" vertical="center"/>
    </xf>
    <xf numFmtId="171" fontId="3" fillId="37" borderId="30" xfId="0" applyNumberFormat="1" applyFont="1" applyFill="1" applyBorder="1" applyAlignment="1">
      <alignment horizontal="center" vertical="center"/>
    </xf>
    <xf numFmtId="2" fontId="2" fillId="16" borderId="11" xfId="0" applyNumberFormat="1" applyFont="1" applyFill="1" applyBorder="1" applyAlignment="1">
      <alignment horizontal="center" vertical="center"/>
    </xf>
    <xf numFmtId="164" fontId="2" fillId="16" borderId="11" xfId="62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vertical="center"/>
    </xf>
    <xf numFmtId="0" fontId="3" fillId="23" borderId="36" xfId="0" applyFont="1" applyFill="1" applyBorder="1" applyAlignment="1">
      <alignment horizontal="left" vertical="center"/>
    </xf>
    <xf numFmtId="49" fontId="3" fillId="23" borderId="36" xfId="0" applyNumberFormat="1" applyFont="1" applyFill="1" applyBorder="1" applyAlignment="1">
      <alignment horizontal="left" vertical="center"/>
    </xf>
    <xf numFmtId="164" fontId="3" fillId="23" borderId="37" xfId="62" applyFont="1" applyFill="1" applyBorder="1" applyAlignment="1">
      <alignment horizontal="center" vertical="center" wrapText="1"/>
    </xf>
    <xf numFmtId="164" fontId="3" fillId="23" borderId="38" xfId="62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3" fillId="23" borderId="18" xfId="0" applyFont="1" applyFill="1" applyBorder="1" applyAlignment="1">
      <alignment horizontal="center" vertical="center"/>
    </xf>
    <xf numFmtId="0" fontId="2" fillId="16" borderId="18" xfId="0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49" fontId="3" fillId="23" borderId="36" xfId="0" applyNumberFormat="1" applyFont="1" applyFill="1" applyBorder="1" applyAlignment="1">
      <alignment horizontal="center" vertical="center"/>
    </xf>
    <xf numFmtId="164" fontId="2" fillId="0" borderId="35" xfId="62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169" fontId="3" fillId="0" borderId="41" xfId="0" applyNumberFormat="1" applyFont="1" applyBorder="1" applyAlignment="1">
      <alignment horizontal="center" vertical="center" wrapText="1"/>
    </xf>
    <xf numFmtId="169" fontId="3" fillId="0" borderId="42" xfId="0" applyNumberFormat="1" applyFont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169" fontId="2" fillId="0" borderId="11" xfId="0" applyNumberFormat="1" applyFont="1" applyFill="1" applyBorder="1" applyAlignment="1">
      <alignment horizontal="center" vertical="center" wrapText="1"/>
    </xf>
    <xf numFmtId="169" fontId="2" fillId="0" borderId="20" xfId="0" applyNumberFormat="1" applyFont="1" applyFill="1" applyBorder="1" applyAlignment="1">
      <alignment horizontal="center" vertical="center" wrapText="1"/>
    </xf>
    <xf numFmtId="164" fontId="2" fillId="16" borderId="20" xfId="62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" fillId="0" borderId="20" xfId="62" applyFont="1" applyFill="1" applyBorder="1" applyAlignment="1">
      <alignment horizontal="center" vertical="center"/>
    </xf>
    <xf numFmtId="0" fontId="3" fillId="23" borderId="43" xfId="0" applyFont="1" applyFill="1" applyBorder="1" applyAlignment="1">
      <alignment horizontal="center" vertical="center"/>
    </xf>
    <xf numFmtId="2" fontId="2" fillId="23" borderId="44" xfId="0" applyNumberFormat="1" applyFont="1" applyFill="1" applyBorder="1" applyAlignment="1">
      <alignment horizontal="center" vertical="center"/>
    </xf>
    <xf numFmtId="164" fontId="3" fillId="23" borderId="44" xfId="62" applyFont="1" applyFill="1" applyBorder="1" applyAlignment="1">
      <alignment horizontal="center" vertical="center"/>
    </xf>
    <xf numFmtId="164" fontId="3" fillId="23" borderId="45" xfId="62" applyFont="1" applyFill="1" applyBorder="1" applyAlignment="1">
      <alignment horizontal="center" vertical="center"/>
    </xf>
    <xf numFmtId="164" fontId="3" fillId="23" borderId="35" xfId="62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/>
    </xf>
    <xf numFmtId="2" fontId="2" fillId="36" borderId="11" xfId="0" applyNumberFormat="1" applyFont="1" applyFill="1" applyBorder="1" applyAlignment="1">
      <alignment horizontal="center" vertical="center" wrapText="1"/>
    </xf>
    <xf numFmtId="164" fontId="2" fillId="36" borderId="11" xfId="62" applyFont="1" applyFill="1" applyBorder="1" applyAlignment="1">
      <alignment horizontal="center" vertical="center"/>
    </xf>
    <xf numFmtId="164" fontId="2" fillId="36" borderId="20" xfId="62" applyFont="1" applyFill="1" applyBorder="1" applyAlignment="1">
      <alignment horizontal="center" vertical="center"/>
    </xf>
    <xf numFmtId="164" fontId="2" fillId="36" borderId="35" xfId="62" applyFont="1" applyFill="1" applyBorder="1" applyAlignment="1">
      <alignment horizontal="center" vertical="center"/>
    </xf>
    <xf numFmtId="10" fontId="2" fillId="0" borderId="0" xfId="80" applyNumberFormat="1" applyFont="1" applyAlignment="1">
      <alignment vertical="center"/>
    </xf>
    <xf numFmtId="10" fontId="2" fillId="0" borderId="0" xfId="80" applyNumberFormat="1" applyFont="1" applyFill="1" applyAlignment="1">
      <alignment vertical="center"/>
    </xf>
    <xf numFmtId="0" fontId="2" fillId="36" borderId="36" xfId="0" applyFont="1" applyFill="1" applyBorder="1" applyAlignment="1">
      <alignment vertical="center"/>
    </xf>
    <xf numFmtId="0" fontId="2" fillId="36" borderId="11" xfId="0" applyFont="1" applyFill="1" applyBorder="1" applyAlignment="1">
      <alignment horizontal="left" vertical="center" wrapText="1"/>
    </xf>
    <xf numFmtId="49" fontId="2" fillId="36" borderId="19" xfId="0" applyNumberFormat="1" applyFont="1" applyFill="1" applyBorder="1" applyAlignment="1">
      <alignment horizontal="center" vertical="center"/>
    </xf>
    <xf numFmtId="0" fontId="2" fillId="36" borderId="0" xfId="0" applyFont="1" applyFill="1" applyAlignment="1">
      <alignment vertical="center"/>
    </xf>
    <xf numFmtId="169" fontId="2" fillId="36" borderId="11" xfId="0" applyNumberFormat="1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vertical="center"/>
    </xf>
    <xf numFmtId="49" fontId="2" fillId="36" borderId="36" xfId="0" applyNumberFormat="1" applyFont="1" applyFill="1" applyBorder="1" applyAlignment="1">
      <alignment horizontal="center" vertical="center"/>
    </xf>
    <xf numFmtId="164" fontId="2" fillId="36" borderId="35" xfId="62" applyFont="1" applyFill="1" applyBorder="1" applyAlignment="1">
      <alignment horizontal="center" vertical="center"/>
    </xf>
    <xf numFmtId="10" fontId="3" fillId="0" borderId="0" xfId="80" applyNumberFormat="1" applyFont="1" applyAlignment="1">
      <alignment horizontal="center" vertical="center"/>
    </xf>
    <xf numFmtId="0" fontId="2" fillId="8" borderId="0" xfId="0" applyFont="1" applyFill="1" applyAlignment="1">
      <alignment vertical="center"/>
    </xf>
    <xf numFmtId="10" fontId="2" fillId="0" borderId="0" xfId="80" applyNumberFormat="1" applyFont="1" applyAlignment="1">
      <alignment vertical="center"/>
    </xf>
    <xf numFmtId="0" fontId="3" fillId="23" borderId="36" xfId="0" applyFont="1" applyFill="1" applyBorder="1" applyAlignment="1">
      <alignment horizontal="center" vertical="center"/>
    </xf>
    <xf numFmtId="0" fontId="3" fillId="37" borderId="36" xfId="0" applyFont="1" applyFill="1" applyBorder="1" applyAlignment="1">
      <alignment horizontal="left" vertical="center"/>
    </xf>
    <xf numFmtId="0" fontId="3" fillId="37" borderId="46" xfId="0" applyFont="1" applyFill="1" applyBorder="1" applyAlignment="1">
      <alignment horizontal="center" vertical="center" wrapText="1"/>
    </xf>
    <xf numFmtId="2" fontId="2" fillId="37" borderId="37" xfId="0" applyNumberFormat="1" applyFont="1" applyFill="1" applyBorder="1" applyAlignment="1">
      <alignment horizontal="center" vertical="center" wrapText="1"/>
    </xf>
    <xf numFmtId="164" fontId="61" fillId="38" borderId="24" xfId="62" applyFont="1" applyFill="1" applyBorder="1" applyAlignment="1">
      <alignment horizontal="center" vertical="center"/>
    </xf>
    <xf numFmtId="164" fontId="3" fillId="0" borderId="33" xfId="62" applyFont="1" applyBorder="1" applyAlignment="1">
      <alignment horizontal="center" vertical="center"/>
    </xf>
    <xf numFmtId="164" fontId="3" fillId="0" borderId="47" xfId="62" applyFont="1" applyFill="1" applyBorder="1" applyAlignment="1">
      <alignment horizontal="center" vertical="center"/>
    </xf>
    <xf numFmtId="164" fontId="2" fillId="0" borderId="48" xfId="62" applyFont="1" applyBorder="1" applyAlignment="1">
      <alignment horizontal="left" vertical="center"/>
    </xf>
    <xf numFmtId="164" fontId="2" fillId="0" borderId="49" xfId="62" applyFont="1" applyBorder="1" applyAlignment="1">
      <alignment horizontal="left" vertical="center"/>
    </xf>
    <xf numFmtId="10" fontId="2" fillId="38" borderId="0" xfId="8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10" fontId="3" fillId="0" borderId="0" xfId="80" applyNumberFormat="1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164" fontId="3" fillId="38" borderId="24" xfId="62" applyFont="1" applyFill="1" applyBorder="1" applyAlignment="1">
      <alignment horizontal="center" vertical="center"/>
    </xf>
    <xf numFmtId="0" fontId="2" fillId="0" borderId="34" xfId="0" applyNumberFormat="1" applyFont="1" applyBorder="1" applyAlignment="1">
      <alignment horizontal="center" vertical="center" wrapText="1"/>
    </xf>
    <xf numFmtId="0" fontId="3" fillId="37" borderId="30" xfId="0" applyNumberFormat="1" applyFont="1" applyFill="1" applyBorder="1" applyAlignment="1">
      <alignment horizontal="center" vertical="center"/>
    </xf>
    <xf numFmtId="0" fontId="2" fillId="36" borderId="19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3" fillId="23" borderId="36" xfId="0" applyNumberFormat="1" applyFont="1" applyFill="1" applyBorder="1" applyAlignment="1">
      <alignment horizontal="center" vertical="center"/>
    </xf>
    <xf numFmtId="0" fontId="3" fillId="37" borderId="19" xfId="0" applyNumberFormat="1" applyFont="1" applyFill="1" applyBorder="1" applyAlignment="1">
      <alignment horizontal="center" vertical="center"/>
    </xf>
    <xf numFmtId="0" fontId="2" fillId="36" borderId="36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38" borderId="24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64" fontId="62" fillId="0" borderId="0" xfId="62" applyFont="1" applyBorder="1" applyAlignment="1">
      <alignment horizontal="right" vertical="center"/>
    </xf>
    <xf numFmtId="164" fontId="62" fillId="0" borderId="0" xfId="62" applyFont="1" applyFill="1" applyBorder="1" applyAlignment="1">
      <alignment horizontal="center" vertical="center"/>
    </xf>
    <xf numFmtId="164" fontId="63" fillId="0" borderId="0" xfId="62" applyFont="1" applyBorder="1" applyAlignment="1">
      <alignment horizontal="left" vertical="center"/>
    </xf>
    <xf numFmtId="164" fontId="3" fillId="0" borderId="0" xfId="62" applyFont="1" applyFill="1" applyBorder="1" applyAlignment="1">
      <alignment horizontal="center" vertical="center"/>
    </xf>
    <xf numFmtId="164" fontId="64" fillId="0" borderId="0" xfId="62" applyFont="1" applyFill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 wrapText="1"/>
    </xf>
    <xf numFmtId="0" fontId="3" fillId="37" borderId="36" xfId="0" applyNumberFormat="1" applyFont="1" applyFill="1" applyBorder="1" applyAlignment="1">
      <alignment horizontal="left" vertical="center" wrapText="1"/>
    </xf>
    <xf numFmtId="0" fontId="2" fillId="36" borderId="36" xfId="0" applyNumberFormat="1" applyFont="1" applyFill="1" applyBorder="1" applyAlignment="1">
      <alignment vertical="center" wrapText="1"/>
    </xf>
    <xf numFmtId="0" fontId="2" fillId="0" borderId="36" xfId="0" applyNumberFormat="1" applyFont="1" applyFill="1" applyBorder="1" applyAlignment="1">
      <alignment vertical="center" wrapText="1"/>
    </xf>
    <xf numFmtId="0" fontId="3" fillId="23" borderId="36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2" fillId="36" borderId="31" xfId="0" applyNumberFormat="1" applyFont="1" applyFill="1" applyBorder="1" applyAlignment="1">
      <alignment horizontal="left" vertical="center" wrapText="1"/>
    </xf>
    <xf numFmtId="0" fontId="2" fillId="16" borderId="11" xfId="0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50" xfId="0" applyFont="1" applyBorder="1" applyAlignment="1">
      <alignment vertical="center"/>
    </xf>
    <xf numFmtId="0" fontId="3" fillId="23" borderId="44" xfId="0" applyFont="1" applyFill="1" applyBorder="1" applyAlignment="1">
      <alignment horizontal="center" vertical="center"/>
    </xf>
    <xf numFmtId="0" fontId="2" fillId="36" borderId="5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169" fontId="2" fillId="0" borderId="52" xfId="0" applyNumberFormat="1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37" borderId="37" xfId="0" applyFont="1" applyFill="1" applyBorder="1" applyAlignment="1">
      <alignment horizontal="center" vertical="center" wrapText="1"/>
    </xf>
    <xf numFmtId="164" fontId="2" fillId="0" borderId="11" xfId="62" applyFont="1" applyFill="1" applyBorder="1" applyAlignment="1">
      <alignment horizontal="center" vertical="center" wrapText="1"/>
    </xf>
    <xf numFmtId="169" fontId="2" fillId="36" borderId="5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vertical="center" wrapText="1"/>
    </xf>
    <xf numFmtId="2" fontId="2" fillId="0" borderId="0" xfId="0" applyNumberFormat="1" applyFont="1" applyBorder="1" applyAlignment="1">
      <alignment horizontal="center" vertical="center"/>
    </xf>
    <xf numFmtId="164" fontId="2" fillId="0" borderId="0" xfId="62" applyFont="1" applyBorder="1" applyAlignment="1">
      <alignment horizontal="center" vertical="center"/>
    </xf>
    <xf numFmtId="10" fontId="3" fillId="0" borderId="0" xfId="80" applyNumberFormat="1" applyFont="1" applyBorder="1" applyAlignment="1">
      <alignment vertical="center"/>
    </xf>
    <xf numFmtId="10" fontId="2" fillId="0" borderId="0" xfId="8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7" fillId="0" borderId="53" xfId="0" applyNumberFormat="1" applyFont="1" applyBorder="1" applyAlignment="1">
      <alignment vertical="center" wrapText="1"/>
    </xf>
    <xf numFmtId="0" fontId="2" fillId="0" borderId="53" xfId="0" applyFont="1" applyBorder="1" applyAlignment="1">
      <alignment horizontal="center" vertical="center"/>
    </xf>
    <xf numFmtId="2" fontId="2" fillId="0" borderId="53" xfId="0" applyNumberFormat="1" applyFont="1" applyBorder="1" applyAlignment="1">
      <alignment horizontal="center" vertical="center"/>
    </xf>
    <xf numFmtId="164" fontId="2" fillId="0" borderId="53" xfId="62" applyFont="1" applyBorder="1" applyAlignment="1">
      <alignment horizontal="center" vertical="center"/>
    </xf>
    <xf numFmtId="164" fontId="62" fillId="0" borderId="53" xfId="62" applyFont="1" applyBorder="1" applyAlignment="1">
      <alignment horizontal="right" vertical="center"/>
    </xf>
    <xf numFmtId="164" fontId="62" fillId="0" borderId="53" xfId="62" applyFont="1" applyFill="1" applyBorder="1" applyAlignment="1">
      <alignment horizontal="center" vertical="center"/>
    </xf>
    <xf numFmtId="10" fontId="3" fillId="0" borderId="53" xfId="80" applyNumberFormat="1" applyFont="1" applyBorder="1" applyAlignment="1">
      <alignment vertical="center"/>
    </xf>
    <xf numFmtId="0" fontId="3" fillId="0" borderId="53" xfId="0" applyNumberFormat="1" applyFont="1" applyBorder="1" applyAlignment="1">
      <alignment vertical="center" wrapText="1"/>
    </xf>
    <xf numFmtId="0" fontId="3" fillId="0" borderId="53" xfId="0" applyFont="1" applyBorder="1" applyAlignment="1">
      <alignment horizontal="center" vertical="center"/>
    </xf>
    <xf numFmtId="2" fontId="3" fillId="0" borderId="53" xfId="0" applyNumberFormat="1" applyFont="1" applyBorder="1" applyAlignment="1">
      <alignment horizontal="center" vertical="center"/>
    </xf>
    <xf numFmtId="164" fontId="3" fillId="0" borderId="53" xfId="62" applyFont="1" applyBorder="1" applyAlignment="1">
      <alignment horizontal="center" vertical="center"/>
    </xf>
    <xf numFmtId="10" fontId="2" fillId="0" borderId="53" xfId="80" applyNumberFormat="1" applyFont="1" applyBorder="1" applyAlignment="1">
      <alignment vertical="center"/>
    </xf>
    <xf numFmtId="164" fontId="3" fillId="0" borderId="53" xfId="62" applyFont="1" applyFill="1" applyBorder="1" applyAlignment="1">
      <alignment horizontal="center" vertical="center"/>
    </xf>
    <xf numFmtId="0" fontId="2" fillId="0" borderId="53" xfId="0" applyNumberFormat="1" applyFont="1" applyBorder="1" applyAlignment="1">
      <alignment vertical="center" wrapText="1"/>
    </xf>
    <xf numFmtId="0" fontId="2" fillId="0" borderId="53" xfId="0" applyFont="1" applyBorder="1" applyAlignment="1">
      <alignment horizontal="center" vertical="center"/>
    </xf>
    <xf numFmtId="164" fontId="2" fillId="36" borderId="53" xfId="62" applyFont="1" applyFill="1" applyBorder="1" applyAlignment="1">
      <alignment horizontal="center" vertical="center"/>
    </xf>
    <xf numFmtId="164" fontId="2" fillId="0" borderId="53" xfId="62" applyFont="1" applyBorder="1" applyAlignment="1">
      <alignment horizontal="center" vertical="center"/>
    </xf>
    <xf numFmtId="0" fontId="2" fillId="0" borderId="53" xfId="0" applyNumberFormat="1" applyFont="1" applyBorder="1" applyAlignment="1">
      <alignment vertical="center" wrapText="1"/>
    </xf>
    <xf numFmtId="164" fontId="10" fillId="0" borderId="53" xfId="62" applyFont="1" applyBorder="1" applyAlignment="1">
      <alignment horizontal="center" vertical="center"/>
    </xf>
    <xf numFmtId="0" fontId="2" fillId="0" borderId="53" xfId="0" applyFont="1" applyBorder="1" applyAlignment="1">
      <alignment vertical="center"/>
    </xf>
    <xf numFmtId="0" fontId="21" fillId="0" borderId="53" xfId="0" applyNumberFormat="1" applyFont="1" applyBorder="1" applyAlignment="1">
      <alignment vertical="center" wrapText="1"/>
    </xf>
    <xf numFmtId="0" fontId="21" fillId="0" borderId="53" xfId="0" applyFont="1" applyBorder="1" applyAlignment="1">
      <alignment horizontal="center" vertical="center"/>
    </xf>
    <xf numFmtId="0" fontId="21" fillId="0" borderId="53" xfId="0" applyFont="1" applyBorder="1" applyAlignment="1">
      <alignment vertical="center"/>
    </xf>
    <xf numFmtId="44" fontId="65" fillId="0" borderId="53" xfId="0" applyNumberFormat="1" applyFont="1" applyBorder="1" applyAlignment="1">
      <alignment vertical="center"/>
    </xf>
    <xf numFmtId="44" fontId="26" fillId="0" borderId="53" xfId="0" applyNumberFormat="1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  <protection locked="0"/>
    </xf>
    <xf numFmtId="0" fontId="5" fillId="0" borderId="55" xfId="0" applyFont="1" applyFill="1" applyBorder="1" applyAlignment="1" applyProtection="1">
      <alignment horizontal="center" vertical="center"/>
      <protection locked="0"/>
    </xf>
    <xf numFmtId="0" fontId="5" fillId="0" borderId="47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54" xfId="0" applyFont="1" applyFill="1" applyBorder="1" applyAlignment="1" applyProtection="1">
      <alignment horizontal="center" vertical="center"/>
      <protection/>
    </xf>
    <xf numFmtId="0" fontId="3" fillId="38" borderId="34" xfId="0" applyFont="1" applyFill="1" applyBorder="1" applyAlignment="1">
      <alignment horizontal="center" vertical="center"/>
    </xf>
    <xf numFmtId="0" fontId="3" fillId="38" borderId="13" xfId="0" applyFont="1" applyFill="1" applyBorder="1" applyAlignment="1">
      <alignment horizontal="center" vertical="center"/>
    </xf>
    <xf numFmtId="0" fontId="3" fillId="38" borderId="15" xfId="0" applyFont="1" applyFill="1" applyBorder="1" applyAlignment="1">
      <alignment horizontal="center" vertical="center"/>
    </xf>
    <xf numFmtId="4" fontId="3" fillId="36" borderId="34" xfId="0" applyNumberFormat="1" applyFont="1" applyFill="1" applyBorder="1" applyAlignment="1" applyProtection="1">
      <alignment horizontal="left" vertical="center"/>
      <protection locked="0"/>
    </xf>
    <xf numFmtId="4" fontId="3" fillId="36" borderId="13" xfId="0" applyNumberFormat="1" applyFont="1" applyFill="1" applyBorder="1" applyAlignment="1" applyProtection="1">
      <alignment horizontal="left" vertical="center"/>
      <protection locked="0"/>
    </xf>
    <xf numFmtId="4" fontId="3" fillId="36" borderId="15" xfId="0" applyNumberFormat="1" applyFont="1" applyFill="1" applyBorder="1" applyAlignment="1" applyProtection="1">
      <alignment horizontal="left" vertical="center"/>
      <protection locked="0"/>
    </xf>
    <xf numFmtId="0" fontId="2" fillId="0" borderId="48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4" fontId="3" fillId="36" borderId="48" xfId="0" applyNumberFormat="1" applyFont="1" applyFill="1" applyBorder="1" applyAlignment="1" applyProtection="1">
      <alignment horizontal="left" vertical="center"/>
      <protection locked="0"/>
    </xf>
    <xf numFmtId="4" fontId="3" fillId="36" borderId="33" xfId="0" applyNumberFormat="1" applyFont="1" applyFill="1" applyBorder="1" applyAlignment="1" applyProtection="1">
      <alignment horizontal="left" vertical="center"/>
      <protection locked="0"/>
    </xf>
    <xf numFmtId="4" fontId="3" fillId="36" borderId="49" xfId="0" applyNumberFormat="1" applyFont="1" applyFill="1" applyBorder="1" applyAlignment="1" applyProtection="1">
      <alignment horizontal="left" vertical="center"/>
      <protection locked="0"/>
    </xf>
    <xf numFmtId="4" fontId="3" fillId="36" borderId="47" xfId="0" applyNumberFormat="1" applyFont="1" applyFill="1" applyBorder="1" applyAlignment="1" applyProtection="1">
      <alignment horizontal="left" vertical="center"/>
      <protection locked="0"/>
    </xf>
    <xf numFmtId="0" fontId="2" fillId="0" borderId="4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5" fillId="0" borderId="49" xfId="0" applyFont="1" applyFill="1" applyBorder="1" applyAlignment="1" applyProtection="1">
      <alignment horizontal="center" vertical="center"/>
      <protection locked="0"/>
    </xf>
    <xf numFmtId="0" fontId="5" fillId="0" borderId="55" xfId="0" applyFont="1" applyFill="1" applyBorder="1" applyAlignment="1" applyProtection="1">
      <alignment horizontal="center" vertical="center"/>
      <protection locked="0"/>
    </xf>
    <xf numFmtId="0" fontId="5" fillId="0" borderId="47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4" fontId="3" fillId="0" borderId="34" xfId="0" applyNumberFormat="1" applyFont="1" applyFill="1" applyBorder="1" applyAlignment="1" applyProtection="1">
      <alignment horizontal="left" vertical="center"/>
      <protection locked="0"/>
    </xf>
    <xf numFmtId="4" fontId="3" fillId="0" borderId="13" xfId="0" applyNumberFormat="1" applyFont="1" applyFill="1" applyBorder="1" applyAlignment="1" applyProtection="1">
      <alignment horizontal="left" vertical="center"/>
      <protection locked="0"/>
    </xf>
    <xf numFmtId="4" fontId="3" fillId="0" borderId="15" xfId="0" applyNumberFormat="1" applyFont="1" applyFill="1" applyBorder="1" applyAlignment="1" applyProtection="1">
      <alignment horizontal="left" vertical="center"/>
      <protection locked="0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54" xfId="0" applyFont="1" applyFill="1" applyBorder="1" applyAlignment="1" applyProtection="1">
      <alignment horizontal="center" vertical="center"/>
      <protection/>
    </xf>
    <xf numFmtId="0" fontId="2" fillId="0" borderId="48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4" fontId="3" fillId="0" borderId="48" xfId="0" applyNumberFormat="1" applyFont="1" applyFill="1" applyBorder="1" applyAlignment="1" applyProtection="1">
      <alignment horizontal="left" vertical="center"/>
      <protection locked="0"/>
    </xf>
    <xf numFmtId="4" fontId="3" fillId="0" borderId="40" xfId="0" applyNumberFormat="1" applyFont="1" applyFill="1" applyBorder="1" applyAlignment="1" applyProtection="1">
      <alignment horizontal="left" vertical="center"/>
      <protection locked="0"/>
    </xf>
    <xf numFmtId="4" fontId="3" fillId="36" borderId="13" xfId="0" applyNumberFormat="1" applyFont="1" applyFill="1" applyBorder="1" applyAlignment="1" applyProtection="1">
      <alignment horizontal="left" vertical="center"/>
      <protection locked="0"/>
    </xf>
    <xf numFmtId="4" fontId="3" fillId="36" borderId="15" xfId="0" applyNumberFormat="1" applyFont="1" applyFill="1" applyBorder="1" applyAlignment="1" applyProtection="1">
      <alignment horizontal="left" vertical="center"/>
      <protection locked="0"/>
    </xf>
    <xf numFmtId="0" fontId="3" fillId="38" borderId="56" xfId="0" applyFont="1" applyFill="1" applyBorder="1" applyAlignment="1">
      <alignment horizontal="center" vertical="center"/>
    </xf>
  </cellXfs>
  <cellStyles count="79">
    <cellStyle name="Normal" xfId="0"/>
    <cellStyle name="          &#10;&#10;386grabber=VGA.3GR&#10;&#10;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Dia" xfId="38"/>
    <cellStyle name="Encabez1" xfId="39"/>
    <cellStyle name="Encabez2" xfId="40"/>
    <cellStyle name="Encabezado 1" xfId="41"/>
    <cellStyle name="Encabezado 4" xfId="42"/>
    <cellStyle name="EncabezadoRubro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Euro" xfId="51"/>
    <cellStyle name="Fijo" xfId="52"/>
    <cellStyle name="Financiero" xfId="53"/>
    <cellStyle name="Incorrecto" xfId="54"/>
    <cellStyle name="Insumo" xfId="55"/>
    <cellStyle name="Insumo 2" xfId="56"/>
    <cellStyle name="Comma" xfId="57"/>
    <cellStyle name="Comma [0]" xfId="58"/>
    <cellStyle name="Millares 2" xfId="59"/>
    <cellStyle name="Millares 2 2" xfId="60"/>
    <cellStyle name="Millares 3" xfId="61"/>
    <cellStyle name="Currency" xfId="62"/>
    <cellStyle name="Currency [0]" xfId="63"/>
    <cellStyle name="Moneda 2" xfId="64"/>
    <cellStyle name="Moneda 2 2" xfId="65"/>
    <cellStyle name="Moneda 3" xfId="66"/>
    <cellStyle name="Monetario" xfId="67"/>
    <cellStyle name="Neutral" xfId="68"/>
    <cellStyle name="Normal 2" xfId="69"/>
    <cellStyle name="Normal 3" xfId="70"/>
    <cellStyle name="Normal 3 2" xfId="71"/>
    <cellStyle name="Normal 3 3" xfId="72"/>
    <cellStyle name="Normal 4" xfId="73"/>
    <cellStyle name="Normal 5" xfId="74"/>
    <cellStyle name="Normal 6" xfId="75"/>
    <cellStyle name="Normal 8" xfId="76"/>
    <cellStyle name="Notas" xfId="77"/>
    <cellStyle name="Porcen - Modelo1" xfId="78"/>
    <cellStyle name="Porcen - Modelo2" xfId="79"/>
    <cellStyle name="Percent" xfId="80"/>
    <cellStyle name="Porcentaje 2" xfId="81"/>
    <cellStyle name="Porcentaje 2 2" xfId="82"/>
    <cellStyle name="Porcentaje 3" xfId="83"/>
    <cellStyle name="Punto1 - Modelo1" xfId="84"/>
    <cellStyle name="Salida" xfId="85"/>
    <cellStyle name="Texto de advertencia" xfId="86"/>
    <cellStyle name="Texto explicativo" xfId="87"/>
    <cellStyle name="Titulo" xfId="88"/>
    <cellStyle name="Título" xfId="89"/>
    <cellStyle name="Título 2" xfId="90"/>
    <cellStyle name="Título 3" xfId="91"/>
    <cellStyle name="Total" xfId="92"/>
  </cellStyles>
  <dxfs count="4">
    <dxf>
      <font>
        <color theme="3" tint="0.5999600291252136"/>
      </font>
      <fill>
        <patternFill>
          <bgColor theme="3" tint="0.5999600291252136"/>
        </patternFill>
      </fill>
    </dxf>
    <dxf>
      <font>
        <color theme="3" tint="0.5999600291252136"/>
      </font>
      <fill>
        <patternFill>
          <bgColor theme="3" tint="0.5999600291252136"/>
        </patternFill>
      </fill>
    </dxf>
    <dxf>
      <font>
        <color theme="3" tint="0.5999600291252136"/>
      </font>
      <fill>
        <patternFill>
          <bgColor theme="3" tint="0.5999600291252136"/>
        </patternFill>
      </fill>
    </dxf>
    <dxf>
      <font>
        <color theme="3" tint="0.5999600291252136"/>
      </font>
      <fill>
        <patternFill>
          <bgColor theme="3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55"/>
  <sheetViews>
    <sheetView zoomScaleSheetLayoutView="110" zoomScalePageLayoutView="0" workbookViewId="0" topLeftCell="A49">
      <selection activeCell="B71" sqref="B71"/>
    </sheetView>
  </sheetViews>
  <sheetFormatPr defaultColWidth="11.421875" defaultRowHeight="15"/>
  <cols>
    <col min="1" max="1" width="4.421875" style="141" bestFit="1" customWidth="1"/>
    <col min="2" max="2" width="85.7109375" style="134" bestFit="1" customWidth="1"/>
    <col min="3" max="3" width="7.8515625" style="141" customWidth="1"/>
    <col min="4" max="4" width="10.00390625" style="142" bestFit="1" customWidth="1"/>
    <col min="5" max="7" width="18.421875" style="143" customWidth="1"/>
    <col min="8" max="8" width="7.7109375" style="187" bestFit="1" customWidth="1"/>
    <col min="9" max="9" width="3.57421875" style="187" customWidth="1"/>
    <col min="10" max="10" width="24.28125" style="1" bestFit="1" customWidth="1"/>
    <col min="11" max="11" width="27.140625" style="1" customWidth="1"/>
    <col min="12" max="12" width="13.57421875" style="1" customWidth="1"/>
    <col min="13" max="15" width="11.421875" style="1" customWidth="1"/>
    <col min="16" max="16" width="50.8515625" style="1" customWidth="1"/>
    <col min="17" max="18" width="11.421875" style="1" customWidth="1"/>
    <col min="19" max="19" width="17.00390625" style="1" customWidth="1"/>
    <col min="20" max="20" width="14.421875" style="1" customWidth="1"/>
    <col min="21" max="21" width="11.421875" style="1" customWidth="1"/>
    <col min="22" max="22" width="12.421875" style="1" bestFit="1" customWidth="1"/>
    <col min="23" max="25" width="11.421875" style="1" customWidth="1"/>
    <col min="26" max="16384" width="11.421875" style="134" customWidth="1"/>
  </cols>
  <sheetData>
    <row r="1" spans="1:7" ht="12.75">
      <c r="A1" s="288"/>
      <c r="B1" s="289"/>
      <c r="C1" s="289"/>
      <c r="D1" s="289"/>
      <c r="E1" s="289"/>
      <c r="F1" s="289"/>
      <c r="G1" s="290"/>
    </row>
    <row r="2" spans="1:7" ht="12.75">
      <c r="A2" s="288"/>
      <c r="B2" s="289"/>
      <c r="C2" s="289"/>
      <c r="D2" s="289"/>
      <c r="E2" s="289"/>
      <c r="F2" s="289"/>
      <c r="G2" s="290"/>
    </row>
    <row r="3" spans="1:7" ht="12.75">
      <c r="A3" s="288"/>
      <c r="B3" s="289"/>
      <c r="C3" s="289"/>
      <c r="D3" s="289"/>
      <c r="E3" s="289"/>
      <c r="F3" s="289"/>
      <c r="G3" s="290"/>
    </row>
    <row r="4" spans="1:54" ht="12.75">
      <c r="A4" s="288"/>
      <c r="B4" s="289"/>
      <c r="C4" s="289"/>
      <c r="D4" s="289"/>
      <c r="E4" s="289"/>
      <c r="F4" s="289"/>
      <c r="G4" s="290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  <c r="BB4" s="187"/>
    </row>
    <row r="5" spans="1:54" ht="12.75">
      <c r="A5" s="288"/>
      <c r="B5" s="289"/>
      <c r="C5" s="289"/>
      <c r="D5" s="289"/>
      <c r="E5" s="289"/>
      <c r="F5" s="289"/>
      <c r="G5" s="290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</row>
    <row r="6" spans="1:54" ht="12.75">
      <c r="A6" s="288"/>
      <c r="B6" s="289"/>
      <c r="C6" s="289"/>
      <c r="D6" s="289"/>
      <c r="E6" s="289"/>
      <c r="F6" s="289"/>
      <c r="G6" s="290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</row>
    <row r="7" spans="1:54" ht="12.75">
      <c r="A7" s="288"/>
      <c r="B7" s="289"/>
      <c r="C7" s="289"/>
      <c r="D7" s="289"/>
      <c r="E7" s="289"/>
      <c r="F7" s="289"/>
      <c r="G7" s="290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</row>
    <row r="8" spans="1:54" s="135" customFormat="1" ht="12.75">
      <c r="A8" s="297" t="s">
        <v>28</v>
      </c>
      <c r="B8" s="298"/>
      <c r="C8" s="298"/>
      <c r="D8" s="298"/>
      <c r="E8" s="298"/>
      <c r="F8" s="298"/>
      <c r="G8" s="299"/>
      <c r="H8" s="187"/>
      <c r="I8" s="187"/>
      <c r="J8" s="1"/>
      <c r="K8" s="1"/>
      <c r="L8" s="1"/>
      <c r="M8" s="1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</row>
    <row r="9" spans="1:54" s="135" customFormat="1" ht="12.75">
      <c r="A9" s="297" t="s">
        <v>29</v>
      </c>
      <c r="B9" s="298"/>
      <c r="C9" s="298"/>
      <c r="D9" s="298"/>
      <c r="E9" s="298"/>
      <c r="F9" s="298"/>
      <c r="G9" s="299"/>
      <c r="H9" s="187"/>
      <c r="I9" s="187"/>
      <c r="J9" s="1"/>
      <c r="K9" s="1"/>
      <c r="L9" s="1"/>
      <c r="M9" s="1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</row>
    <row r="10" spans="1:54" s="135" customFormat="1" ht="12.75">
      <c r="A10" s="297" t="s">
        <v>30</v>
      </c>
      <c r="B10" s="298"/>
      <c r="C10" s="298"/>
      <c r="D10" s="298"/>
      <c r="E10" s="298"/>
      <c r="F10" s="298"/>
      <c r="G10" s="299"/>
      <c r="H10" s="187"/>
      <c r="I10" s="187"/>
      <c r="J10" s="1"/>
      <c r="K10" s="1"/>
      <c r="L10" s="1"/>
      <c r="M10" s="1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</row>
    <row r="11" spans="1:54" s="135" customFormat="1" ht="12.75">
      <c r="A11" s="297" t="s">
        <v>31</v>
      </c>
      <c r="B11" s="298"/>
      <c r="C11" s="298"/>
      <c r="D11" s="298"/>
      <c r="E11" s="298"/>
      <c r="F11" s="298"/>
      <c r="G11" s="299"/>
      <c r="H11" s="187"/>
      <c r="I11" s="187"/>
      <c r="J11" s="1"/>
      <c r="K11" s="1"/>
      <c r="L11" s="1"/>
      <c r="M11" s="1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</row>
    <row r="12" spans="1:54" s="135" customFormat="1" ht="12.75">
      <c r="A12" s="297"/>
      <c r="B12" s="298"/>
      <c r="C12" s="298"/>
      <c r="D12" s="298"/>
      <c r="E12" s="298"/>
      <c r="F12" s="298"/>
      <c r="G12" s="299"/>
      <c r="H12" s="187"/>
      <c r="I12" s="187"/>
      <c r="J12" s="1"/>
      <c r="K12" s="1"/>
      <c r="L12" s="1"/>
      <c r="M12" s="1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</row>
    <row r="13" spans="1:54" s="135" customFormat="1" ht="13.5" thickBot="1">
      <c r="A13" s="291"/>
      <c r="B13" s="292"/>
      <c r="C13" s="292"/>
      <c r="D13" s="292"/>
      <c r="E13" s="292"/>
      <c r="F13" s="292"/>
      <c r="G13" s="293"/>
      <c r="H13" s="187"/>
      <c r="I13" s="187"/>
      <c r="J13" s="1"/>
      <c r="K13" s="1"/>
      <c r="L13" s="1"/>
      <c r="M13" s="1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</row>
    <row r="14" spans="1:54" s="135" customFormat="1" ht="13.5" thickBot="1">
      <c r="A14" s="294" t="s">
        <v>77</v>
      </c>
      <c r="B14" s="295"/>
      <c r="C14" s="295"/>
      <c r="D14" s="295"/>
      <c r="E14" s="295"/>
      <c r="F14" s="295"/>
      <c r="G14" s="296"/>
      <c r="H14" s="199"/>
      <c r="I14" s="199"/>
      <c r="J14" s="1"/>
      <c r="K14" s="1"/>
      <c r="L14" s="1"/>
      <c r="M14" s="1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</row>
    <row r="15" spans="1:54" s="135" customFormat="1" ht="13.5" thickBot="1">
      <c r="A15" s="303" t="s">
        <v>252</v>
      </c>
      <c r="B15" s="304"/>
      <c r="C15" s="304"/>
      <c r="D15" s="304"/>
      <c r="E15" s="304"/>
      <c r="F15" s="304"/>
      <c r="G15" s="305"/>
      <c r="H15" s="187"/>
      <c r="I15" s="187"/>
      <c r="J15" s="1"/>
      <c r="K15" s="1"/>
      <c r="L15" s="1"/>
      <c r="M15" s="1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</row>
    <row r="16" spans="1:54" s="135" customFormat="1" ht="13.5" thickBot="1">
      <c r="A16" s="309" t="s">
        <v>253</v>
      </c>
      <c r="B16" s="310"/>
      <c r="C16" s="303" t="s">
        <v>336</v>
      </c>
      <c r="D16" s="304"/>
      <c r="E16" s="304"/>
      <c r="F16" s="304"/>
      <c r="G16" s="305"/>
      <c r="H16" s="187"/>
      <c r="I16" s="187"/>
      <c r="J16" s="1"/>
      <c r="K16" s="1"/>
      <c r="L16" s="1"/>
      <c r="M16" s="1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</row>
    <row r="17" spans="1:54" s="135" customFormat="1" ht="13.5" thickBot="1">
      <c r="A17" s="311"/>
      <c r="B17" s="312"/>
      <c r="C17" s="303" t="s">
        <v>268</v>
      </c>
      <c r="D17" s="304"/>
      <c r="E17" s="304"/>
      <c r="F17" s="304"/>
      <c r="G17" s="305"/>
      <c r="H17" s="187"/>
      <c r="I17" s="187"/>
      <c r="J17" s="1"/>
      <c r="K17" s="1"/>
      <c r="L17" s="1"/>
      <c r="M17" s="1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</row>
    <row r="18" spans="1:54" s="135" customFormat="1" ht="13.5" thickBot="1">
      <c r="A18" s="306"/>
      <c r="B18" s="307"/>
      <c r="C18" s="307"/>
      <c r="D18" s="307"/>
      <c r="E18" s="307"/>
      <c r="F18" s="307"/>
      <c r="G18" s="308"/>
      <c r="H18" s="187"/>
      <c r="I18" s="187"/>
      <c r="J18" s="1"/>
      <c r="K18" s="1"/>
      <c r="L18" s="1"/>
      <c r="M18" s="1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</row>
    <row r="19" spans="1:13" ht="26.25" thickBot="1">
      <c r="A19" s="145"/>
      <c r="B19" s="146" t="s">
        <v>24</v>
      </c>
      <c r="C19" s="167" t="s">
        <v>0</v>
      </c>
      <c r="D19" s="168" t="s">
        <v>1</v>
      </c>
      <c r="E19" s="169" t="s">
        <v>2</v>
      </c>
      <c r="F19" s="170" t="s">
        <v>25</v>
      </c>
      <c r="G19" s="137" t="s">
        <v>26</v>
      </c>
      <c r="H19" s="197" t="s">
        <v>334</v>
      </c>
      <c r="J19" s="198" t="s">
        <v>230</v>
      </c>
      <c r="K19" s="198" t="s">
        <v>231</v>
      </c>
      <c r="L19" s="198" t="s">
        <v>232</v>
      </c>
      <c r="M19" s="1" t="s">
        <v>249</v>
      </c>
    </row>
    <row r="20" spans="1:8" ht="12.75">
      <c r="A20" s="152" t="s">
        <v>33</v>
      </c>
      <c r="B20" s="201" t="s">
        <v>3</v>
      </c>
      <c r="C20" s="202"/>
      <c r="D20" s="203"/>
      <c r="E20" s="159"/>
      <c r="F20" s="160"/>
      <c r="G20" s="147">
        <f>SUM(F21:F28)</f>
        <v>683204.56</v>
      </c>
      <c r="H20" s="209">
        <f>G20/$G$109</f>
        <v>0.01609016660425905</v>
      </c>
    </row>
    <row r="21" spans="1:25" s="138" customFormat="1" ht="12.75">
      <c r="A21" s="191" t="s">
        <v>34</v>
      </c>
      <c r="B21" s="189" t="s">
        <v>196</v>
      </c>
      <c r="C21" s="182" t="s">
        <v>206</v>
      </c>
      <c r="D21" s="183">
        <v>200</v>
      </c>
      <c r="E21" s="184">
        <f>1085*1.7</f>
        <v>1844.5</v>
      </c>
      <c r="F21" s="185">
        <f aca="true" t="shared" si="0" ref="F21:F28">+D21*E21</f>
        <v>368900</v>
      </c>
      <c r="G21" s="186"/>
      <c r="H21" s="188"/>
      <c r="I21" s="187"/>
      <c r="J21" s="1" t="s">
        <v>233</v>
      </c>
      <c r="K21" s="2" t="s">
        <v>234</v>
      </c>
      <c r="L21" s="2"/>
      <c r="M21" s="52"/>
      <c r="N21" s="2"/>
      <c r="O21" s="1"/>
      <c r="P21" s="1"/>
      <c r="Q21" s="1"/>
      <c r="R21" s="1"/>
      <c r="S21" s="1"/>
      <c r="T21" s="1"/>
      <c r="U21" s="1"/>
      <c r="V21" s="1"/>
      <c r="W21" s="1"/>
      <c r="X21" s="2"/>
      <c r="Y21" s="2"/>
    </row>
    <row r="22" spans="1:25" s="138" customFormat="1" ht="12.75">
      <c r="A22" s="191" t="s">
        <v>35</v>
      </c>
      <c r="B22" s="189" t="s">
        <v>210</v>
      </c>
      <c r="C22" s="182" t="s">
        <v>133</v>
      </c>
      <c r="D22" s="183">
        <v>1</v>
      </c>
      <c r="E22" s="184">
        <v>64824.05999999999</v>
      </c>
      <c r="F22" s="185">
        <f t="shared" si="0"/>
        <v>64824.05999999999</v>
      </c>
      <c r="G22" s="186"/>
      <c r="H22" s="188"/>
      <c r="I22" s="187"/>
      <c r="J22" s="2" t="s">
        <v>235</v>
      </c>
      <c r="K22" s="2"/>
      <c r="L22" s="2"/>
      <c r="M22" s="52">
        <f>E22/130</f>
        <v>498.6466153846153</v>
      </c>
      <c r="N22" s="2"/>
      <c r="O22" s="1"/>
      <c r="P22" s="1"/>
      <c r="Q22" s="1"/>
      <c r="R22" s="1"/>
      <c r="S22" s="1"/>
      <c r="T22" s="1"/>
      <c r="U22" s="1"/>
      <c r="V22" s="1"/>
      <c r="W22" s="1"/>
      <c r="X22" s="2"/>
      <c r="Y22" s="2"/>
    </row>
    <row r="23" spans="1:25" s="138" customFormat="1" ht="12.75">
      <c r="A23" s="191" t="s">
        <v>36</v>
      </c>
      <c r="B23" s="189" t="s">
        <v>197</v>
      </c>
      <c r="C23" s="182" t="s">
        <v>133</v>
      </c>
      <c r="D23" s="183">
        <v>1</v>
      </c>
      <c r="E23" s="184">
        <v>20247.359999999997</v>
      </c>
      <c r="F23" s="185">
        <f t="shared" si="0"/>
        <v>20247.359999999997</v>
      </c>
      <c r="G23" s="186"/>
      <c r="H23" s="188"/>
      <c r="I23" s="187"/>
      <c r="J23" s="2" t="s">
        <v>294</v>
      </c>
      <c r="K23" s="2" t="s">
        <v>236</v>
      </c>
      <c r="L23" s="2"/>
      <c r="M23" s="52">
        <f>E23/130</f>
        <v>155.74892307692306</v>
      </c>
      <c r="N23" s="2"/>
      <c r="O23" s="1"/>
      <c r="P23" s="1"/>
      <c r="Q23" s="1"/>
      <c r="R23" s="1"/>
      <c r="S23" s="1"/>
      <c r="T23" s="1"/>
      <c r="U23" s="1"/>
      <c r="V23" s="1"/>
      <c r="W23" s="1"/>
      <c r="X23" s="2"/>
      <c r="Y23" s="2"/>
    </row>
    <row r="24" spans="1:25" s="138" customFormat="1" ht="12.75">
      <c r="A24" s="191" t="s">
        <v>37</v>
      </c>
      <c r="B24" s="189" t="s">
        <v>225</v>
      </c>
      <c r="C24" s="182" t="s">
        <v>133</v>
      </c>
      <c r="D24" s="183">
        <v>1</v>
      </c>
      <c r="E24" s="184">
        <v>50878.799999999996</v>
      </c>
      <c r="F24" s="185">
        <f t="shared" si="0"/>
        <v>50878.799999999996</v>
      </c>
      <c r="G24" s="186"/>
      <c r="H24" s="188"/>
      <c r="I24" s="187"/>
      <c r="J24" s="2" t="s">
        <v>235</v>
      </c>
      <c r="K24" s="2"/>
      <c r="L24" s="2"/>
      <c r="M24" s="52">
        <f>E24/130</f>
        <v>391.3753846153846</v>
      </c>
      <c r="N24" s="2"/>
      <c r="O24" s="1"/>
      <c r="P24" s="1"/>
      <c r="Q24" s="1"/>
      <c r="R24" s="1"/>
      <c r="S24" s="1"/>
      <c r="T24" s="1"/>
      <c r="U24" s="1"/>
      <c r="V24" s="1"/>
      <c r="W24" s="1"/>
      <c r="X24" s="2"/>
      <c r="Y24" s="2"/>
    </row>
    <row r="25" spans="1:25" s="138" customFormat="1" ht="12.75">
      <c r="A25" s="191" t="s">
        <v>38</v>
      </c>
      <c r="B25" s="190" t="s">
        <v>23</v>
      </c>
      <c r="C25" s="182" t="s">
        <v>133</v>
      </c>
      <c r="D25" s="183">
        <v>1</v>
      </c>
      <c r="E25" s="184">
        <v>27194.16</v>
      </c>
      <c r="F25" s="185">
        <f t="shared" si="0"/>
        <v>27194.16</v>
      </c>
      <c r="G25" s="186"/>
      <c r="H25" s="188"/>
      <c r="I25" s="187"/>
      <c r="J25" s="2" t="s">
        <v>235</v>
      </c>
      <c r="K25" s="2"/>
      <c r="L25" s="2"/>
      <c r="M25" s="52">
        <f>E25/130</f>
        <v>209.18584615384614</v>
      </c>
      <c r="N25" s="2"/>
      <c r="O25" s="1"/>
      <c r="P25" s="1"/>
      <c r="Q25" s="1"/>
      <c r="R25" s="1"/>
      <c r="S25" s="1"/>
      <c r="T25" s="1"/>
      <c r="U25" s="1"/>
      <c r="V25" s="1"/>
      <c r="W25" s="1"/>
      <c r="X25" s="2"/>
      <c r="Y25" s="2"/>
    </row>
    <row r="26" spans="1:25" s="138" customFormat="1" ht="12.75">
      <c r="A26" s="191" t="s">
        <v>187</v>
      </c>
      <c r="B26" s="189" t="s">
        <v>198</v>
      </c>
      <c r="C26" s="182" t="s">
        <v>133</v>
      </c>
      <c r="D26" s="183">
        <v>1</v>
      </c>
      <c r="E26" s="184">
        <v>63203.84</v>
      </c>
      <c r="F26" s="185">
        <f t="shared" si="0"/>
        <v>63203.84</v>
      </c>
      <c r="G26" s="186"/>
      <c r="H26" s="188"/>
      <c r="I26" s="187"/>
      <c r="J26" s="2" t="s">
        <v>235</v>
      </c>
      <c r="K26" s="2"/>
      <c r="L26" s="2"/>
      <c r="M26" s="52">
        <f>E26/130</f>
        <v>486.18338461538457</v>
      </c>
      <c r="N26" s="2"/>
      <c r="O26" s="1"/>
      <c r="P26" s="1"/>
      <c r="Q26" s="1"/>
      <c r="R26" s="1"/>
      <c r="S26" s="1"/>
      <c r="T26" s="1"/>
      <c r="U26" s="1"/>
      <c r="V26" s="1"/>
      <c r="W26" s="1"/>
      <c r="X26" s="2"/>
      <c r="Y26" s="2"/>
    </row>
    <row r="27" spans="1:25" s="138" customFormat="1" ht="12.75">
      <c r="A27" s="191" t="s">
        <v>188</v>
      </c>
      <c r="B27" s="189" t="s">
        <v>199</v>
      </c>
      <c r="C27" s="182" t="s">
        <v>207</v>
      </c>
      <c r="D27" s="183">
        <v>1</v>
      </c>
      <c r="E27" s="184">
        <f>2*1.5*4639*1.7</f>
        <v>23658.899999999998</v>
      </c>
      <c r="F27" s="185">
        <f>+D27*E27</f>
        <v>23658.899999999998</v>
      </c>
      <c r="G27" s="186"/>
      <c r="H27" s="188"/>
      <c r="I27" s="187"/>
      <c r="J27" s="1" t="s">
        <v>237</v>
      </c>
      <c r="K27" s="2" t="s">
        <v>238</v>
      </c>
      <c r="L27" s="2"/>
      <c r="M27" s="2"/>
      <c r="N27" s="2"/>
      <c r="O27" s="1"/>
      <c r="P27" s="1"/>
      <c r="Q27" s="1"/>
      <c r="R27" s="1"/>
      <c r="S27" s="1"/>
      <c r="T27" s="1"/>
      <c r="U27" s="1"/>
      <c r="V27" s="1"/>
      <c r="W27" s="1"/>
      <c r="X27" s="2"/>
      <c r="Y27" s="2"/>
    </row>
    <row r="28" spans="1:25" s="138" customFormat="1" ht="12.75">
      <c r="A28" s="191" t="s">
        <v>211</v>
      </c>
      <c r="B28" s="189" t="s">
        <v>229</v>
      </c>
      <c r="C28" s="182" t="s">
        <v>212</v>
      </c>
      <c r="D28" s="183">
        <v>120</v>
      </c>
      <c r="E28" s="184">
        <f>446.51*1.2</f>
        <v>535.812</v>
      </c>
      <c r="F28" s="185">
        <f t="shared" si="0"/>
        <v>64297.44</v>
      </c>
      <c r="G28" s="186"/>
      <c r="H28" s="188"/>
      <c r="I28" s="187"/>
      <c r="J28" s="2" t="s">
        <v>293</v>
      </c>
      <c r="K28" s="2" t="s">
        <v>239</v>
      </c>
      <c r="L28" s="2"/>
      <c r="M28" s="2"/>
      <c r="N28" s="2"/>
      <c r="O28" s="1"/>
      <c r="P28" s="1"/>
      <c r="Q28" s="1"/>
      <c r="R28" s="1"/>
      <c r="S28" s="1"/>
      <c r="T28" s="1"/>
      <c r="U28" s="1"/>
      <c r="V28" s="1"/>
      <c r="W28" s="1"/>
      <c r="X28" s="2"/>
      <c r="Y28" s="2"/>
    </row>
    <row r="29" spans="1:25" s="138" customFormat="1" ht="12.75">
      <c r="A29" s="144"/>
      <c r="B29" s="156"/>
      <c r="C29" s="161"/>
      <c r="D29" s="171"/>
      <c r="E29" s="172"/>
      <c r="F29" s="173"/>
      <c r="G29" s="148"/>
      <c r="H29" s="188"/>
      <c r="I29" s="187"/>
      <c r="J29" s="2"/>
      <c r="K29" s="2"/>
      <c r="L29" s="2"/>
      <c r="M29" s="2"/>
      <c r="N29" s="2"/>
      <c r="O29" s="1"/>
      <c r="P29" s="1"/>
      <c r="Q29" s="1"/>
      <c r="R29" s="1"/>
      <c r="S29" s="1"/>
      <c r="T29" s="1"/>
      <c r="U29" s="1"/>
      <c r="V29" s="1"/>
      <c r="W29" s="1"/>
      <c r="X29" s="2"/>
      <c r="Y29" s="2"/>
    </row>
    <row r="30" spans="1:25" s="138" customFormat="1" ht="12.75">
      <c r="A30" s="200" t="s">
        <v>39</v>
      </c>
      <c r="B30" s="157" t="s">
        <v>228</v>
      </c>
      <c r="C30" s="162"/>
      <c r="D30" s="62"/>
      <c r="E30" s="35"/>
      <c r="F30" s="36"/>
      <c r="G30" s="150">
        <f>SUM(F31:F41)</f>
        <v>3095003.6199999996</v>
      </c>
      <c r="H30" s="209">
        <f>G30/$G$109</f>
        <v>0.07289050278965475</v>
      </c>
      <c r="I30" s="187"/>
      <c r="J30" s="2"/>
      <c r="K30" s="2"/>
      <c r="L30" s="2"/>
      <c r="M30" s="2"/>
      <c r="N30" s="2"/>
      <c r="O30" s="1"/>
      <c r="P30" s="1"/>
      <c r="Q30" s="1"/>
      <c r="R30" s="1"/>
      <c r="S30" s="1"/>
      <c r="T30" s="1"/>
      <c r="U30" s="1"/>
      <c r="V30" s="1"/>
      <c r="W30" s="1"/>
      <c r="X30" s="2"/>
      <c r="Y30" s="2"/>
    </row>
    <row r="31" spans="1:25" s="138" customFormat="1" ht="12.75">
      <c r="A31" s="191" t="s">
        <v>40</v>
      </c>
      <c r="B31" s="189" t="s">
        <v>270</v>
      </c>
      <c r="C31" s="182" t="s">
        <v>208</v>
      </c>
      <c r="D31" s="183">
        <v>230</v>
      </c>
      <c r="E31" s="193">
        <f>2633*1.3</f>
        <v>3422.9</v>
      </c>
      <c r="F31" s="176">
        <f aca="true" t="shared" si="1" ref="F31:F41">+D31*E31</f>
        <v>787267</v>
      </c>
      <c r="G31" s="148"/>
      <c r="H31" s="188"/>
      <c r="I31" s="187"/>
      <c r="J31" s="2" t="s">
        <v>233</v>
      </c>
      <c r="K31" s="2" t="s">
        <v>288</v>
      </c>
      <c r="L31" s="2"/>
      <c r="M31" s="2"/>
      <c r="N31" s="2"/>
      <c r="O31" s="1"/>
      <c r="P31" s="1"/>
      <c r="Q31" s="1"/>
      <c r="R31" s="1"/>
      <c r="S31" s="1"/>
      <c r="T31" s="1"/>
      <c r="U31" s="1"/>
      <c r="V31" s="1"/>
      <c r="W31" s="1"/>
      <c r="X31" s="2"/>
      <c r="Y31" s="2"/>
    </row>
    <row r="32" spans="1:25" s="138" customFormat="1" ht="12.75">
      <c r="A32" s="191" t="s">
        <v>41</v>
      </c>
      <c r="B32" s="189" t="s">
        <v>271</v>
      </c>
      <c r="C32" s="182" t="s">
        <v>208</v>
      </c>
      <c r="D32" s="183">
        <v>230</v>
      </c>
      <c r="E32" s="193">
        <f>682*1.3</f>
        <v>886.6</v>
      </c>
      <c r="F32" s="176">
        <f t="shared" si="1"/>
        <v>203918</v>
      </c>
      <c r="G32" s="148"/>
      <c r="H32" s="188"/>
      <c r="I32" s="187"/>
      <c r="J32" s="2" t="s">
        <v>233</v>
      </c>
      <c r="K32" s="2" t="s">
        <v>289</v>
      </c>
      <c r="L32" s="2"/>
      <c r="M32" s="2"/>
      <c r="N32" s="2"/>
      <c r="O32" s="1"/>
      <c r="P32" s="1"/>
      <c r="Q32" s="1"/>
      <c r="R32" s="1"/>
      <c r="S32" s="1"/>
      <c r="T32" s="1"/>
      <c r="U32" s="1"/>
      <c r="V32" s="1"/>
      <c r="W32" s="1"/>
      <c r="X32" s="2"/>
      <c r="Y32" s="2"/>
    </row>
    <row r="33" spans="1:25" s="138" customFormat="1" ht="12.75">
      <c r="A33" s="191" t="s">
        <v>42</v>
      </c>
      <c r="B33" s="189" t="s">
        <v>272</v>
      </c>
      <c r="C33" s="182" t="s">
        <v>208</v>
      </c>
      <c r="D33" s="183">
        <v>25</v>
      </c>
      <c r="E33" s="193">
        <f>6114*0.3*1.7</f>
        <v>3118.14</v>
      </c>
      <c r="F33" s="176">
        <f t="shared" si="1"/>
        <v>77953.5</v>
      </c>
      <c r="G33" s="148"/>
      <c r="H33" s="188"/>
      <c r="I33" s="187"/>
      <c r="J33" s="2" t="s">
        <v>233</v>
      </c>
      <c r="K33" s="2" t="s">
        <v>290</v>
      </c>
      <c r="L33" s="2"/>
      <c r="M33" s="2"/>
      <c r="N33" s="2"/>
      <c r="O33" s="1"/>
      <c r="P33" s="1"/>
      <c r="Q33" s="1"/>
      <c r="R33" s="1"/>
      <c r="S33" s="1"/>
      <c r="T33" s="1"/>
      <c r="U33" s="1"/>
      <c r="V33" s="1"/>
      <c r="W33" s="1"/>
      <c r="X33" s="2"/>
      <c r="Y33" s="2"/>
    </row>
    <row r="34" spans="1:25" s="138" customFormat="1" ht="12.75">
      <c r="A34" s="191" t="s">
        <v>43</v>
      </c>
      <c r="B34" s="189" t="s">
        <v>280</v>
      </c>
      <c r="C34" s="182" t="s">
        <v>208</v>
      </c>
      <c r="D34" s="183">
        <f>296+90</f>
        <v>386</v>
      </c>
      <c r="E34" s="193">
        <f>6114*0.4*1.7</f>
        <v>4157.5199999999995</v>
      </c>
      <c r="F34" s="176">
        <f t="shared" si="1"/>
        <v>1604802.7199999997</v>
      </c>
      <c r="G34" s="148"/>
      <c r="H34" s="188"/>
      <c r="I34" s="187"/>
      <c r="J34" s="2" t="s">
        <v>322</v>
      </c>
      <c r="K34" s="2"/>
      <c r="L34" s="2"/>
      <c r="M34" s="2"/>
      <c r="N34" s="2"/>
      <c r="O34" s="1"/>
      <c r="P34" s="1"/>
      <c r="Q34" s="1"/>
      <c r="R34" s="1"/>
      <c r="S34" s="1"/>
      <c r="T34" s="1"/>
      <c r="U34" s="1"/>
      <c r="V34" s="1"/>
      <c r="W34" s="1"/>
      <c r="X34" s="2"/>
      <c r="Y34" s="2"/>
    </row>
    <row r="35" spans="1:25" s="138" customFormat="1" ht="12.75">
      <c r="A35" s="191" t="s">
        <v>44</v>
      </c>
      <c r="B35" s="189" t="s">
        <v>266</v>
      </c>
      <c r="C35" s="182" t="s">
        <v>208</v>
      </c>
      <c r="D35" s="183">
        <v>162</v>
      </c>
      <c r="E35" s="193">
        <v>240</v>
      </c>
      <c r="F35" s="176">
        <f t="shared" si="1"/>
        <v>38880</v>
      </c>
      <c r="G35" s="148"/>
      <c r="H35" s="188"/>
      <c r="I35" s="187"/>
      <c r="J35" s="2" t="s">
        <v>295</v>
      </c>
      <c r="K35" s="2" t="s">
        <v>296</v>
      </c>
      <c r="L35" s="2"/>
      <c r="M35" s="2"/>
      <c r="N35" s="2"/>
      <c r="O35" s="1"/>
      <c r="P35" s="1"/>
      <c r="Q35" s="1"/>
      <c r="R35" s="1"/>
      <c r="S35" s="1"/>
      <c r="T35" s="1"/>
      <c r="U35" s="1"/>
      <c r="V35" s="1"/>
      <c r="W35" s="1"/>
      <c r="X35" s="2"/>
      <c r="Y35" s="2"/>
    </row>
    <row r="36" spans="1:25" s="138" customFormat="1" ht="12.75">
      <c r="A36" s="191" t="s">
        <v>45</v>
      </c>
      <c r="B36" s="194" t="s">
        <v>265</v>
      </c>
      <c r="C36" s="182" t="s">
        <v>206</v>
      </c>
      <c r="D36" s="183">
        <v>81</v>
      </c>
      <c r="E36" s="193">
        <f>6200*0.2*0.5*1.7</f>
        <v>1054</v>
      </c>
      <c r="F36" s="176">
        <f t="shared" si="1"/>
        <v>85374</v>
      </c>
      <c r="G36" s="148"/>
      <c r="H36" s="188"/>
      <c r="I36" s="187"/>
      <c r="J36" s="2" t="s">
        <v>233</v>
      </c>
      <c r="K36" s="2" t="s">
        <v>297</v>
      </c>
      <c r="L36" s="2"/>
      <c r="M36" s="2"/>
      <c r="N36" s="2"/>
      <c r="O36" s="1"/>
      <c r="P36" s="1"/>
      <c r="Q36" s="1"/>
      <c r="R36" s="1"/>
      <c r="S36" s="1"/>
      <c r="T36" s="1"/>
      <c r="U36" s="1"/>
      <c r="V36" s="1"/>
      <c r="W36" s="1"/>
      <c r="X36" s="2"/>
      <c r="Y36" s="2"/>
    </row>
    <row r="37" spans="1:25" s="138" customFormat="1" ht="12.75">
      <c r="A37" s="191" t="s">
        <v>46</v>
      </c>
      <c r="B37" s="194" t="s">
        <v>269</v>
      </c>
      <c r="C37" s="182" t="s">
        <v>207</v>
      </c>
      <c r="D37" s="183">
        <v>3</v>
      </c>
      <c r="E37" s="193">
        <v>6120</v>
      </c>
      <c r="F37" s="176">
        <f t="shared" si="1"/>
        <v>18360</v>
      </c>
      <c r="G37" s="148"/>
      <c r="H37" s="188"/>
      <c r="I37" s="187"/>
      <c r="J37" s="2"/>
      <c r="K37" s="2"/>
      <c r="L37" s="2"/>
      <c r="M37" s="2"/>
      <c r="N37" s="2"/>
      <c r="O37" s="1"/>
      <c r="P37" s="1"/>
      <c r="Q37" s="1"/>
      <c r="R37" s="1"/>
      <c r="S37" s="1"/>
      <c r="T37" s="1"/>
      <c r="U37" s="1"/>
      <c r="V37" s="1"/>
      <c r="W37" s="1"/>
      <c r="X37" s="2"/>
      <c r="Y37" s="2"/>
    </row>
    <row r="38" spans="1:25" s="138" customFormat="1" ht="12.75">
      <c r="A38" s="191" t="s">
        <v>47</v>
      </c>
      <c r="B38" s="194" t="s">
        <v>281</v>
      </c>
      <c r="C38" s="182" t="s">
        <v>206</v>
      </c>
      <c r="D38" s="183">
        <v>49</v>
      </c>
      <c r="E38" s="193">
        <f>218*1.7</f>
        <v>370.59999999999997</v>
      </c>
      <c r="F38" s="176">
        <f t="shared" si="1"/>
        <v>18159.399999999998</v>
      </c>
      <c r="G38" s="148"/>
      <c r="H38" s="188"/>
      <c r="I38" s="187"/>
      <c r="J38" s="2"/>
      <c r="K38" s="2" t="s">
        <v>298</v>
      </c>
      <c r="L38" s="2"/>
      <c r="M38" s="2"/>
      <c r="N38" s="2"/>
      <c r="O38" s="1"/>
      <c r="P38" s="1"/>
      <c r="Q38" s="1"/>
      <c r="R38" s="1"/>
      <c r="S38" s="1"/>
      <c r="T38" s="1"/>
      <c r="U38" s="1"/>
      <c r="V38" s="1"/>
      <c r="W38" s="1"/>
      <c r="X38" s="2"/>
      <c r="Y38" s="2"/>
    </row>
    <row r="39" spans="1:25" s="138" customFormat="1" ht="12.75">
      <c r="A39" s="191" t="s">
        <v>48</v>
      </c>
      <c r="B39" s="194" t="s">
        <v>273</v>
      </c>
      <c r="C39" s="182" t="s">
        <v>208</v>
      </c>
      <c r="D39" s="183">
        <v>233</v>
      </c>
      <c r="E39" s="193">
        <v>750</v>
      </c>
      <c r="F39" s="176">
        <f t="shared" si="1"/>
        <v>174750</v>
      </c>
      <c r="G39" s="148"/>
      <c r="H39" s="188"/>
      <c r="I39" s="187"/>
      <c r="J39" s="2" t="s">
        <v>292</v>
      </c>
      <c r="K39" s="2"/>
      <c r="L39" s="2"/>
      <c r="M39" s="2"/>
      <c r="N39" s="2"/>
      <c r="O39" s="1"/>
      <c r="P39" s="1"/>
      <c r="Q39" s="1"/>
      <c r="R39" s="1"/>
      <c r="S39" s="1"/>
      <c r="T39" s="1"/>
      <c r="U39" s="1"/>
      <c r="V39" s="1"/>
      <c r="W39" s="1"/>
      <c r="X39" s="2"/>
      <c r="Y39" s="2"/>
    </row>
    <row r="40" spans="1:25" s="138" customFormat="1" ht="12.75">
      <c r="A40" s="191" t="s">
        <v>49</v>
      </c>
      <c r="B40" s="194" t="s">
        <v>299</v>
      </c>
      <c r="C40" s="182" t="s">
        <v>207</v>
      </c>
      <c r="D40" s="183">
        <v>3</v>
      </c>
      <c r="E40" s="193">
        <v>8133</v>
      </c>
      <c r="F40" s="176">
        <f t="shared" si="1"/>
        <v>24399</v>
      </c>
      <c r="G40" s="148"/>
      <c r="H40" s="188"/>
      <c r="I40" s="187"/>
      <c r="J40" s="2" t="s">
        <v>233</v>
      </c>
      <c r="K40" s="2"/>
      <c r="L40" s="2"/>
      <c r="M40" s="2"/>
      <c r="N40" s="2"/>
      <c r="O40" s="1"/>
      <c r="P40" s="1"/>
      <c r="Q40" s="1"/>
      <c r="R40" s="1"/>
      <c r="S40" s="1"/>
      <c r="T40" s="1"/>
      <c r="U40" s="1"/>
      <c r="V40" s="1"/>
      <c r="W40" s="1"/>
      <c r="X40" s="2"/>
      <c r="Y40" s="2"/>
    </row>
    <row r="41" spans="1:25" s="138" customFormat="1" ht="12.75">
      <c r="A41" s="191" t="s">
        <v>50</v>
      </c>
      <c r="B41" s="192" t="s">
        <v>303</v>
      </c>
      <c r="C41" s="182" t="s">
        <v>133</v>
      </c>
      <c r="D41" s="183">
        <v>1</v>
      </c>
      <c r="E41" s="193">
        <f>6114*10</f>
        <v>61140</v>
      </c>
      <c r="F41" s="176">
        <f t="shared" si="1"/>
        <v>61140</v>
      </c>
      <c r="G41" s="148"/>
      <c r="H41" s="188"/>
      <c r="I41" s="187"/>
      <c r="J41" s="2"/>
      <c r="K41" s="2"/>
      <c r="L41" s="2"/>
      <c r="M41" s="2"/>
      <c r="N41" s="2"/>
      <c r="O41" s="1"/>
      <c r="P41" s="1"/>
      <c r="Q41" s="1"/>
      <c r="R41" s="1"/>
      <c r="S41" s="1"/>
      <c r="T41" s="1"/>
      <c r="U41" s="1"/>
      <c r="V41" s="1"/>
      <c r="W41" s="1"/>
      <c r="X41" s="2"/>
      <c r="Y41" s="2"/>
    </row>
    <row r="42" spans="1:25" s="138" customFormat="1" ht="12.75">
      <c r="A42" s="144"/>
      <c r="B42" s="156"/>
      <c r="C42" s="161"/>
      <c r="D42" s="171"/>
      <c r="E42" s="172"/>
      <c r="F42" s="173"/>
      <c r="G42" s="148"/>
      <c r="H42" s="188"/>
      <c r="I42" s="187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s="138" customFormat="1" ht="12.75">
      <c r="A43" s="72" t="s">
        <v>189</v>
      </c>
      <c r="B43" s="157" t="s">
        <v>190</v>
      </c>
      <c r="C43" s="163"/>
      <c r="D43" s="153"/>
      <c r="E43" s="154"/>
      <c r="F43" s="174"/>
      <c r="G43" s="149">
        <f>SUM(F44:F49)</f>
        <v>9447189.399999999</v>
      </c>
      <c r="H43" s="209">
        <f>G43/$G$109</f>
        <v>0.2224909789653483</v>
      </c>
      <c r="I43" s="187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s="138" customFormat="1" ht="12.75">
      <c r="A44" s="191" t="s">
        <v>226</v>
      </c>
      <c r="B44" s="189" t="s">
        <v>302</v>
      </c>
      <c r="C44" s="182" t="s">
        <v>207</v>
      </c>
      <c r="D44" s="183">
        <v>8</v>
      </c>
      <c r="E44" s="193">
        <f>27030*0.95*1.7</f>
        <v>43653.45</v>
      </c>
      <c r="F44" s="176">
        <f>+D44*E44</f>
        <v>349227.6</v>
      </c>
      <c r="G44" s="148"/>
      <c r="H44" s="188"/>
      <c r="I44" s="187"/>
      <c r="J44" s="2" t="s">
        <v>233</v>
      </c>
      <c r="K44" s="2" t="s">
        <v>240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s="138" customFormat="1" ht="12.75">
      <c r="A45" s="191" t="s">
        <v>227</v>
      </c>
      <c r="B45" s="189" t="s">
        <v>277</v>
      </c>
      <c r="C45" s="182" t="s">
        <v>209</v>
      </c>
      <c r="D45" s="183">
        <v>18</v>
      </c>
      <c r="E45" s="193">
        <f>27030*1.7</f>
        <v>45951</v>
      </c>
      <c r="F45" s="176">
        <f>+D45*E45</f>
        <v>827118</v>
      </c>
      <c r="G45" s="148"/>
      <c r="H45" s="188"/>
      <c r="I45" s="187"/>
      <c r="J45" s="2" t="s">
        <v>233</v>
      </c>
      <c r="K45" s="2" t="s">
        <v>267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s="138" customFormat="1" ht="12.75">
      <c r="A46" s="191" t="s">
        <v>326</v>
      </c>
      <c r="B46" s="189" t="s">
        <v>276</v>
      </c>
      <c r="C46" s="182" t="s">
        <v>209</v>
      </c>
      <c r="D46" s="183">
        <v>6</v>
      </c>
      <c r="E46" s="193">
        <f>27030*1.7</f>
        <v>45951</v>
      </c>
      <c r="F46" s="176">
        <f>+D46*E46</f>
        <v>275706</v>
      </c>
      <c r="G46" s="148"/>
      <c r="H46" s="188"/>
      <c r="I46" s="187"/>
      <c r="J46" s="2" t="s">
        <v>233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s="138" customFormat="1" ht="12.75">
      <c r="A47" s="191" t="s">
        <v>327</v>
      </c>
      <c r="B47" s="189" t="s">
        <v>282</v>
      </c>
      <c r="C47" s="182" t="s">
        <v>209</v>
      </c>
      <c r="D47" s="183">
        <f>55+90</f>
        <v>145</v>
      </c>
      <c r="E47" s="193">
        <f>27030*1.3</f>
        <v>35139</v>
      </c>
      <c r="F47" s="176">
        <f>+D47*E47</f>
        <v>5095155</v>
      </c>
      <c r="G47" s="148"/>
      <c r="H47" s="188"/>
      <c r="I47" s="187"/>
      <c r="J47" s="2" t="s">
        <v>233</v>
      </c>
      <c r="K47" s="2" t="s">
        <v>323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s="138" customFormat="1" ht="12.75">
      <c r="A48" s="191" t="s">
        <v>328</v>
      </c>
      <c r="B48" s="189" t="s">
        <v>287</v>
      </c>
      <c r="C48" s="182" t="s">
        <v>209</v>
      </c>
      <c r="D48" s="183">
        <v>9.2</v>
      </c>
      <c r="E48" s="193">
        <f>27030*1.3</f>
        <v>35139</v>
      </c>
      <c r="F48" s="176">
        <f>+D48*E48</f>
        <v>323278.8</v>
      </c>
      <c r="G48" s="148"/>
      <c r="H48" s="188"/>
      <c r="I48" s="187"/>
      <c r="J48" s="2" t="s">
        <v>233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s="138" customFormat="1" ht="12.75">
      <c r="A49" s="191" t="s">
        <v>329</v>
      </c>
      <c r="B49" s="189" t="s">
        <v>306</v>
      </c>
      <c r="C49" s="182" t="s">
        <v>208</v>
      </c>
      <c r="D49" s="183">
        <v>380</v>
      </c>
      <c r="E49" s="193">
        <f>26080*0.2*1.3</f>
        <v>6780.8</v>
      </c>
      <c r="F49" s="176">
        <f>+D49*E49</f>
        <v>2576704</v>
      </c>
      <c r="G49" s="148"/>
      <c r="H49" s="188"/>
      <c r="I49" s="187"/>
      <c r="J49" s="2" t="s">
        <v>233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s="138" customFormat="1" ht="12.75">
      <c r="A50" s="191"/>
      <c r="B50" s="189"/>
      <c r="C50" s="182"/>
      <c r="D50" s="183"/>
      <c r="E50" s="193"/>
      <c r="F50" s="176"/>
      <c r="G50" s="148"/>
      <c r="H50" s="188"/>
      <c r="I50" s="187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s="138" customFormat="1" ht="12.75">
      <c r="A51" s="85" t="s">
        <v>55</v>
      </c>
      <c r="B51" s="157" t="s">
        <v>191</v>
      </c>
      <c r="C51" s="162"/>
      <c r="D51" s="62"/>
      <c r="E51" s="35"/>
      <c r="F51" s="36"/>
      <c r="G51" s="150">
        <f>SUM(F52:F54)</f>
        <v>1365457</v>
      </c>
      <c r="H51" s="209">
        <f>G51/$G$109</f>
        <v>0.03215790980808405</v>
      </c>
      <c r="I51" s="187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s="138" customFormat="1" ht="12.75">
      <c r="A52" s="191" t="s">
        <v>56</v>
      </c>
      <c r="B52" s="189" t="s">
        <v>246</v>
      </c>
      <c r="C52" s="182" t="s">
        <v>208</v>
      </c>
      <c r="D52" s="183">
        <v>670</v>
      </c>
      <c r="E52" s="193">
        <f>981*1.7</f>
        <v>1667.7</v>
      </c>
      <c r="F52" s="185">
        <f>+D52*E52</f>
        <v>1117359</v>
      </c>
      <c r="G52" s="148"/>
      <c r="H52" s="188"/>
      <c r="I52" s="187"/>
      <c r="J52" s="2" t="s">
        <v>233</v>
      </c>
      <c r="K52" s="2" t="s">
        <v>304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s="138" customFormat="1" ht="12.75">
      <c r="A53" s="191" t="s">
        <v>57</v>
      </c>
      <c r="B53" s="189" t="s">
        <v>305</v>
      </c>
      <c r="C53" s="182" t="s">
        <v>208</v>
      </c>
      <c r="D53" s="183">
        <v>380</v>
      </c>
      <c r="E53" s="193">
        <f>338*1.7</f>
        <v>574.6</v>
      </c>
      <c r="F53" s="185">
        <f>+D53*E53</f>
        <v>218348</v>
      </c>
      <c r="G53" s="148"/>
      <c r="H53" s="188"/>
      <c r="I53" s="187"/>
      <c r="J53" s="2" t="s">
        <v>233</v>
      </c>
      <c r="K53" s="2" t="s">
        <v>241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s="138" customFormat="1" ht="12.75">
      <c r="A54" s="191" t="s">
        <v>254</v>
      </c>
      <c r="B54" s="189" t="s">
        <v>291</v>
      </c>
      <c r="C54" s="182" t="s">
        <v>208</v>
      </c>
      <c r="D54" s="183">
        <v>50</v>
      </c>
      <c r="E54" s="193">
        <f>350*1.7</f>
        <v>595</v>
      </c>
      <c r="F54" s="185">
        <f>+D54*E54</f>
        <v>29750</v>
      </c>
      <c r="G54" s="148"/>
      <c r="H54" s="188"/>
      <c r="I54" s="187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s="138" customFormat="1" ht="12.75">
      <c r="A55" s="144"/>
      <c r="B55" s="156"/>
      <c r="C55" s="161"/>
      <c r="D55" s="171"/>
      <c r="E55" s="172"/>
      <c r="F55" s="173"/>
      <c r="G55" s="148"/>
      <c r="H55" s="188"/>
      <c r="I55" s="187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s="138" customFormat="1" ht="12.75">
      <c r="A56" s="165" t="s">
        <v>58</v>
      </c>
      <c r="B56" s="157" t="s">
        <v>185</v>
      </c>
      <c r="C56" s="162"/>
      <c r="D56" s="62"/>
      <c r="E56" s="35"/>
      <c r="F56" s="36"/>
      <c r="G56" s="150">
        <f>SUM(F57:F61)</f>
        <v>9284633.86</v>
      </c>
      <c r="H56" s="209">
        <f>G56/$G$109</f>
        <v>0.21866262963312885</v>
      </c>
      <c r="I56" s="187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s="138" customFormat="1" ht="12.75">
      <c r="A57" s="191" t="s">
        <v>59</v>
      </c>
      <c r="B57" s="189" t="s">
        <v>307</v>
      </c>
      <c r="C57" s="182" t="s">
        <v>208</v>
      </c>
      <c r="D57" s="183">
        <v>87</v>
      </c>
      <c r="E57" s="193">
        <f>935*1.7</f>
        <v>1589.5</v>
      </c>
      <c r="F57" s="176">
        <f>+D57*E57</f>
        <v>138286.5</v>
      </c>
      <c r="G57" s="148"/>
      <c r="H57" s="188"/>
      <c r="I57" s="187"/>
      <c r="J57" s="2" t="s">
        <v>233</v>
      </c>
      <c r="K57" s="2" t="s">
        <v>309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s="138" customFormat="1" ht="12.75">
      <c r="A58" s="191" t="s">
        <v>60</v>
      </c>
      <c r="B58" s="189" t="s">
        <v>308</v>
      </c>
      <c r="C58" s="182" t="s">
        <v>208</v>
      </c>
      <c r="D58" s="183">
        <v>7</v>
      </c>
      <c r="E58" s="193">
        <f>868*1.7</f>
        <v>1475.6</v>
      </c>
      <c r="F58" s="176">
        <f>+D58*E58</f>
        <v>10329.199999999999</v>
      </c>
      <c r="G58" s="148"/>
      <c r="H58" s="188"/>
      <c r="I58" s="187"/>
      <c r="J58" s="2" t="s">
        <v>233</v>
      </c>
      <c r="K58" s="2" t="s">
        <v>310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s="138" customFormat="1" ht="12.75">
      <c r="A59" s="191" t="s">
        <v>186</v>
      </c>
      <c r="B59" s="189" t="s">
        <v>283</v>
      </c>
      <c r="C59" s="182" t="s">
        <v>208</v>
      </c>
      <c r="D59" s="183">
        <v>81</v>
      </c>
      <c r="E59" s="193">
        <f>6659*0.2*1.7</f>
        <v>2264.0600000000004</v>
      </c>
      <c r="F59" s="176">
        <f>+D59*E59</f>
        <v>183388.86000000004</v>
      </c>
      <c r="G59" s="148"/>
      <c r="H59" s="188"/>
      <c r="I59" s="187"/>
      <c r="J59" s="2" t="s">
        <v>233</v>
      </c>
      <c r="K59" s="2" t="s">
        <v>311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s="138" customFormat="1" ht="12.75">
      <c r="A60" s="191" t="s">
        <v>255</v>
      </c>
      <c r="B60" s="189" t="s">
        <v>284</v>
      </c>
      <c r="C60" s="182" t="s">
        <v>208</v>
      </c>
      <c r="D60" s="183">
        <v>81</v>
      </c>
      <c r="E60" s="193">
        <f>709*1.7</f>
        <v>1205.3</v>
      </c>
      <c r="F60" s="176">
        <f>+D60*E60</f>
        <v>97629.3</v>
      </c>
      <c r="G60" s="148"/>
      <c r="H60" s="188"/>
      <c r="I60" s="187"/>
      <c r="J60" s="2" t="s">
        <v>233</v>
      </c>
      <c r="K60" s="2" t="s">
        <v>312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s="138" customFormat="1" ht="12.75">
      <c r="A61" s="191" t="s">
        <v>256</v>
      </c>
      <c r="B61" s="189" t="s">
        <v>278</v>
      </c>
      <c r="C61" s="182" t="s">
        <v>208</v>
      </c>
      <c r="D61" s="183">
        <v>161</v>
      </c>
      <c r="E61" s="193">
        <f>1100*50</f>
        <v>55000</v>
      </c>
      <c r="F61" s="122">
        <f>+D61*E61</f>
        <v>8855000</v>
      </c>
      <c r="G61" s="148"/>
      <c r="H61" s="188"/>
      <c r="I61" s="187"/>
      <c r="J61" s="2" t="s">
        <v>233</v>
      </c>
      <c r="K61" s="2" t="s">
        <v>301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s="138" customFormat="1" ht="12.75">
      <c r="A62" s="144"/>
      <c r="B62" s="156"/>
      <c r="C62" s="161"/>
      <c r="D62" s="171"/>
      <c r="E62" s="172"/>
      <c r="F62" s="176"/>
      <c r="G62" s="148"/>
      <c r="H62" s="188"/>
      <c r="I62" s="187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9" s="2" customFormat="1" ht="12.75">
      <c r="A63" s="165" t="s">
        <v>61</v>
      </c>
      <c r="B63" s="158" t="s">
        <v>220</v>
      </c>
      <c r="C63" s="162"/>
      <c r="D63" s="62"/>
      <c r="E63" s="35"/>
      <c r="F63" s="36"/>
      <c r="G63" s="181">
        <f>SUM(F64:F64)</f>
        <v>6258070</v>
      </c>
      <c r="H63" s="209">
        <f>G63/$G$109</f>
        <v>0.14738395323520004</v>
      </c>
      <c r="I63" s="187"/>
    </row>
    <row r="64" spans="1:11" s="2" customFormat="1" ht="12.75">
      <c r="A64" s="191" t="s">
        <v>148</v>
      </c>
      <c r="B64" s="189" t="s">
        <v>279</v>
      </c>
      <c r="C64" s="161" t="s">
        <v>208</v>
      </c>
      <c r="D64" s="183">
        <v>161</v>
      </c>
      <c r="E64" s="172">
        <f>29900*1.3</f>
        <v>38870</v>
      </c>
      <c r="F64" s="122">
        <f>+D64*E64</f>
        <v>6258070</v>
      </c>
      <c r="G64" s="166"/>
      <c r="H64" s="188"/>
      <c r="I64" s="187"/>
      <c r="J64" s="2" t="s">
        <v>300</v>
      </c>
      <c r="K64" s="2" t="s">
        <v>301</v>
      </c>
    </row>
    <row r="65" spans="1:9" s="2" customFormat="1" ht="12.75">
      <c r="A65" s="164"/>
      <c r="B65" s="156"/>
      <c r="C65" s="161"/>
      <c r="D65" s="171"/>
      <c r="E65" s="172"/>
      <c r="F65" s="173"/>
      <c r="G65" s="166"/>
      <c r="H65" s="188"/>
      <c r="I65" s="187"/>
    </row>
    <row r="66" spans="1:25" s="138" customFormat="1" ht="12.75">
      <c r="A66" s="165" t="s">
        <v>62</v>
      </c>
      <c r="B66" s="158" t="s">
        <v>285</v>
      </c>
      <c r="C66" s="162"/>
      <c r="D66" s="62"/>
      <c r="E66" s="35"/>
      <c r="F66" s="36"/>
      <c r="G66" s="181">
        <f>SUM(F67:F68)</f>
        <v>281092.9</v>
      </c>
      <c r="H66" s="209">
        <f>G66/$G$109</f>
        <v>0.006620025475641334</v>
      </c>
      <c r="I66" s="187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s="138" customFormat="1" ht="12.75">
      <c r="A67" s="191" t="s">
        <v>63</v>
      </c>
      <c r="B67" s="189" t="s">
        <v>313</v>
      </c>
      <c r="C67" s="161" t="s">
        <v>208</v>
      </c>
      <c r="D67" s="183">
        <v>81</v>
      </c>
      <c r="E67" s="172">
        <f>737*1.7</f>
        <v>1252.8999999999999</v>
      </c>
      <c r="F67" s="176">
        <f>+D67*E67</f>
        <v>101484.9</v>
      </c>
      <c r="G67" s="166"/>
      <c r="H67" s="188"/>
      <c r="I67" s="187"/>
      <c r="J67" s="2" t="s">
        <v>233</v>
      </c>
      <c r="K67" s="2" t="s">
        <v>314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s="138" customFormat="1" ht="12.75">
      <c r="A68" s="191" t="s">
        <v>64</v>
      </c>
      <c r="B68" s="189" t="s">
        <v>315</v>
      </c>
      <c r="C68" s="161" t="s">
        <v>208</v>
      </c>
      <c r="D68" s="183">
        <v>176</v>
      </c>
      <c r="E68" s="172">
        <f>785*1.3</f>
        <v>1020.5</v>
      </c>
      <c r="F68" s="176">
        <f>+D68*E68</f>
        <v>179608</v>
      </c>
      <c r="G68" s="166"/>
      <c r="H68" s="188"/>
      <c r="I68" s="187"/>
      <c r="J68" s="2" t="s">
        <v>292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s="138" customFormat="1" ht="12.75">
      <c r="A69" s="195"/>
      <c r="B69" s="189"/>
      <c r="C69" s="161"/>
      <c r="D69" s="171"/>
      <c r="E69" s="172"/>
      <c r="F69" s="173"/>
      <c r="G69" s="166"/>
      <c r="H69" s="188"/>
      <c r="I69" s="187"/>
      <c r="J69" s="2" t="s">
        <v>242</v>
      </c>
      <c r="K69" s="2" t="s">
        <v>243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s="138" customFormat="1" ht="12.75">
      <c r="A70" s="165" t="s">
        <v>69</v>
      </c>
      <c r="B70" s="158" t="s">
        <v>13</v>
      </c>
      <c r="C70" s="162"/>
      <c r="D70" s="62"/>
      <c r="E70" s="35"/>
      <c r="F70" s="36"/>
      <c r="G70" s="150">
        <f>SUM(F71:F72)</f>
        <v>23235.6</v>
      </c>
      <c r="H70" s="209">
        <f>G70/$G$109</f>
        <v>0.0005472221601535</v>
      </c>
      <c r="I70" s="187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11" s="2" customFormat="1" ht="12.75">
      <c r="A71" s="191" t="s">
        <v>110</v>
      </c>
      <c r="B71" s="189" t="s">
        <v>274</v>
      </c>
      <c r="C71" s="182" t="s">
        <v>208</v>
      </c>
      <c r="D71" s="183">
        <v>6</v>
      </c>
      <c r="E71" s="193">
        <f>1139*1.7</f>
        <v>1936.3</v>
      </c>
      <c r="F71" s="176">
        <f>+D71*E71</f>
        <v>11617.8</v>
      </c>
      <c r="G71" s="148"/>
      <c r="H71" s="188"/>
      <c r="I71" s="187"/>
      <c r="J71" s="2" t="s">
        <v>233</v>
      </c>
      <c r="K71" s="2" t="s">
        <v>316</v>
      </c>
    </row>
    <row r="72" spans="1:11" s="2" customFormat="1" ht="12.75">
      <c r="A72" s="191" t="s">
        <v>111</v>
      </c>
      <c r="B72" s="189" t="s">
        <v>275</v>
      </c>
      <c r="C72" s="182" t="s">
        <v>208</v>
      </c>
      <c r="D72" s="183">
        <v>6</v>
      </c>
      <c r="E72" s="193">
        <f>1139*1.7</f>
        <v>1936.3</v>
      </c>
      <c r="F72" s="176">
        <f>+D72*E72</f>
        <v>11617.8</v>
      </c>
      <c r="G72" s="148"/>
      <c r="H72" s="188"/>
      <c r="I72" s="187"/>
      <c r="J72" s="2" t="s">
        <v>233</v>
      </c>
      <c r="K72" s="2" t="s">
        <v>316</v>
      </c>
    </row>
    <row r="73" spans="1:9" s="2" customFormat="1" ht="12.75">
      <c r="A73" s="140"/>
      <c r="B73" s="156"/>
      <c r="C73" s="161"/>
      <c r="D73" s="155"/>
      <c r="E73" s="37"/>
      <c r="F73" s="176"/>
      <c r="G73" s="148"/>
      <c r="H73" s="188"/>
      <c r="I73" s="187"/>
    </row>
    <row r="74" spans="1:9" s="2" customFormat="1" ht="12.75">
      <c r="A74" s="165" t="s">
        <v>70</v>
      </c>
      <c r="B74" s="158" t="s">
        <v>217</v>
      </c>
      <c r="C74" s="162"/>
      <c r="D74" s="62"/>
      <c r="E74" s="35"/>
      <c r="F74" s="36"/>
      <c r="G74" s="181">
        <f>SUM(F75)</f>
        <v>0</v>
      </c>
      <c r="H74" s="209">
        <f>G74/$G$109</f>
        <v>0</v>
      </c>
      <c r="I74" s="187"/>
    </row>
    <row r="75" spans="1:9" s="2" customFormat="1" ht="12.75">
      <c r="A75" s="191" t="s">
        <v>113</v>
      </c>
      <c r="B75" s="189" t="s">
        <v>217</v>
      </c>
      <c r="C75" s="182" t="s">
        <v>133</v>
      </c>
      <c r="D75" s="183">
        <v>1</v>
      </c>
      <c r="E75" s="193">
        <v>0</v>
      </c>
      <c r="F75" s="176">
        <f>+D75*E75</f>
        <v>0</v>
      </c>
      <c r="G75" s="166"/>
      <c r="H75" s="188"/>
      <c r="I75" s="187"/>
    </row>
    <row r="76" spans="1:9" s="2" customFormat="1" ht="12.75">
      <c r="A76" s="164"/>
      <c r="B76" s="156"/>
      <c r="C76" s="161"/>
      <c r="D76" s="171"/>
      <c r="E76" s="172"/>
      <c r="F76" s="173"/>
      <c r="G76" s="166"/>
      <c r="H76" s="188"/>
      <c r="I76" s="187"/>
    </row>
    <row r="77" spans="1:9" s="2" customFormat="1" ht="12.75">
      <c r="A77" s="165" t="s">
        <v>71</v>
      </c>
      <c r="B77" s="158" t="s">
        <v>32</v>
      </c>
      <c r="C77" s="162"/>
      <c r="D77" s="62"/>
      <c r="E77" s="35"/>
      <c r="F77" s="36"/>
      <c r="G77" s="181">
        <f>SUM(F78:F78)</f>
        <v>806584.7999999999</v>
      </c>
      <c r="H77" s="209">
        <f>G77/$G$109</f>
        <v>0.018995897528059476</v>
      </c>
      <c r="I77" s="187"/>
    </row>
    <row r="78" spans="1:10" s="2" customFormat="1" ht="12.75">
      <c r="A78" s="191" t="s">
        <v>116</v>
      </c>
      <c r="B78" s="189" t="s">
        <v>257</v>
      </c>
      <c r="C78" s="161" t="s">
        <v>133</v>
      </c>
      <c r="D78" s="171">
        <v>1</v>
      </c>
      <c r="E78" s="172">
        <f>+(313566+169912+92654)*1.4</f>
        <v>806584.7999999999</v>
      </c>
      <c r="F78" s="176">
        <f>+D78*E78</f>
        <v>806584.7999999999</v>
      </c>
      <c r="G78" s="166"/>
      <c r="H78" s="188"/>
      <c r="I78" s="187"/>
      <c r="J78" s="2" t="s">
        <v>235</v>
      </c>
    </row>
    <row r="79" spans="1:9" s="2" customFormat="1" ht="12.75">
      <c r="A79" s="164"/>
      <c r="B79" s="156"/>
      <c r="C79" s="161"/>
      <c r="D79" s="171"/>
      <c r="E79" s="172"/>
      <c r="F79" s="173"/>
      <c r="G79" s="166"/>
      <c r="H79" s="188"/>
      <c r="I79" s="187"/>
    </row>
    <row r="80" spans="1:9" s="2" customFormat="1" ht="12.75">
      <c r="A80" s="165" t="s">
        <v>72</v>
      </c>
      <c r="B80" s="158" t="s">
        <v>192</v>
      </c>
      <c r="C80" s="162"/>
      <c r="D80" s="62"/>
      <c r="E80" s="35"/>
      <c r="F80" s="36"/>
      <c r="G80" s="181">
        <f>SUM(F81:F81)</f>
        <v>6300718.199999999</v>
      </c>
      <c r="H80" s="209">
        <f>G80/$G$109</f>
        <v>0.14838836199291053</v>
      </c>
      <c r="I80" s="187"/>
    </row>
    <row r="81" spans="1:10" s="2" customFormat="1" ht="12.75">
      <c r="A81" s="191" t="s">
        <v>127</v>
      </c>
      <c r="B81" s="189" t="s">
        <v>258</v>
      </c>
      <c r="C81" s="161" t="s">
        <v>133</v>
      </c>
      <c r="D81" s="171">
        <v>1</v>
      </c>
      <c r="E81" s="172">
        <f>4500513*1.4</f>
        <v>6300718.199999999</v>
      </c>
      <c r="F81" s="176">
        <f>+D81*E81</f>
        <v>6300718.199999999</v>
      </c>
      <c r="G81" s="166"/>
      <c r="H81" s="188"/>
      <c r="I81" s="187"/>
      <c r="J81" s="2" t="s">
        <v>235</v>
      </c>
    </row>
    <row r="82" spans="1:9" s="2" customFormat="1" ht="12.75">
      <c r="A82" s="195"/>
      <c r="B82" s="189"/>
      <c r="C82" s="161"/>
      <c r="D82" s="171"/>
      <c r="E82" s="172"/>
      <c r="F82" s="176"/>
      <c r="G82" s="166"/>
      <c r="H82" s="188"/>
      <c r="I82" s="187"/>
    </row>
    <row r="83" spans="1:25" s="138" customFormat="1" ht="12.75">
      <c r="A83" s="165" t="s">
        <v>193</v>
      </c>
      <c r="B83" s="158" t="s">
        <v>335</v>
      </c>
      <c r="C83" s="162"/>
      <c r="D83" s="62"/>
      <c r="E83" s="35"/>
      <c r="F83" s="36"/>
      <c r="G83" s="181">
        <f>SUM(F84:F84)</f>
        <v>745143</v>
      </c>
      <c r="H83" s="209">
        <f>G83/$G$109</f>
        <v>0.017548880256298933</v>
      </c>
      <c r="I83" s="187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9" s="2" customFormat="1" ht="12.75">
      <c r="A84" s="191" t="s">
        <v>200</v>
      </c>
      <c r="B84" s="189" t="s">
        <v>259</v>
      </c>
      <c r="C84" s="161" t="s">
        <v>133</v>
      </c>
      <c r="D84" s="171">
        <v>1</v>
      </c>
      <c r="E84" s="193">
        <f>532245*1.4</f>
        <v>745143</v>
      </c>
      <c r="F84" s="176">
        <f>+D84*E84</f>
        <v>745143</v>
      </c>
      <c r="G84" s="166"/>
      <c r="H84" s="188"/>
      <c r="I84" s="187"/>
    </row>
    <row r="85" spans="1:9" s="2" customFormat="1" ht="12.75">
      <c r="A85" s="164"/>
      <c r="B85" s="156"/>
      <c r="C85" s="161"/>
      <c r="D85" s="171"/>
      <c r="E85" s="172"/>
      <c r="F85" s="173"/>
      <c r="G85" s="148"/>
      <c r="H85" s="188"/>
      <c r="I85" s="187"/>
    </row>
    <row r="86" spans="1:25" s="138" customFormat="1" ht="12.75">
      <c r="A86" s="165" t="s">
        <v>193</v>
      </c>
      <c r="B86" s="158" t="s">
        <v>218</v>
      </c>
      <c r="C86" s="162"/>
      <c r="D86" s="62"/>
      <c r="E86" s="35"/>
      <c r="F86" s="36"/>
      <c r="G86" s="181">
        <f>SUM(F87:F87)</f>
        <v>0</v>
      </c>
      <c r="H86" s="209">
        <f>G86/$G$109</f>
        <v>0</v>
      </c>
      <c r="I86" s="187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9" s="2" customFormat="1" ht="12.75">
      <c r="A87" s="191" t="s">
        <v>200</v>
      </c>
      <c r="B87" s="189" t="s">
        <v>259</v>
      </c>
      <c r="C87" s="161" t="s">
        <v>133</v>
      </c>
      <c r="D87" s="171">
        <v>1</v>
      </c>
      <c r="E87" s="193">
        <v>0</v>
      </c>
      <c r="F87" s="176">
        <f>+D87*E87</f>
        <v>0</v>
      </c>
      <c r="G87" s="166"/>
      <c r="H87" s="188"/>
      <c r="I87" s="187"/>
    </row>
    <row r="88" spans="1:9" s="2" customFormat="1" ht="12.75">
      <c r="A88" s="164"/>
      <c r="B88" s="156"/>
      <c r="C88" s="161"/>
      <c r="D88" s="171"/>
      <c r="E88" s="172"/>
      <c r="F88" s="173"/>
      <c r="G88" s="148"/>
      <c r="H88" s="188"/>
      <c r="I88" s="187"/>
    </row>
    <row r="89" spans="1:13" s="2" customFormat="1" ht="12.75">
      <c r="A89" s="165" t="s">
        <v>194</v>
      </c>
      <c r="B89" s="158" t="s">
        <v>216</v>
      </c>
      <c r="C89" s="162"/>
      <c r="D89" s="62"/>
      <c r="E89" s="35"/>
      <c r="F89" s="36"/>
      <c r="G89" s="150">
        <f>SUM(F90:F92)</f>
        <v>3377405.3</v>
      </c>
      <c r="H89" s="209">
        <f>G89/$G$109</f>
        <v>0.07954135137374889</v>
      </c>
      <c r="I89" s="187"/>
      <c r="M89" s="53"/>
    </row>
    <row r="90" spans="1:13" s="2" customFormat="1" ht="12.75">
      <c r="A90" s="195" t="s">
        <v>201</v>
      </c>
      <c r="B90" s="189" t="s">
        <v>286</v>
      </c>
      <c r="C90" s="182" t="s">
        <v>208</v>
      </c>
      <c r="D90" s="183">
        <v>467</v>
      </c>
      <c r="E90" s="193">
        <f>3525*1.7</f>
        <v>5992.5</v>
      </c>
      <c r="F90" s="176">
        <f>+D90*E90</f>
        <v>2798497.5</v>
      </c>
      <c r="G90" s="166"/>
      <c r="H90" s="188"/>
      <c r="I90" s="187"/>
      <c r="J90" s="2" t="s">
        <v>321</v>
      </c>
      <c r="K90" s="2" t="s">
        <v>319</v>
      </c>
      <c r="M90" s="53"/>
    </row>
    <row r="91" spans="1:13" s="2" customFormat="1" ht="12.75">
      <c r="A91" s="195" t="s">
        <v>205</v>
      </c>
      <c r="B91" s="189" t="s">
        <v>317</v>
      </c>
      <c r="C91" s="182" t="s">
        <v>207</v>
      </c>
      <c r="D91" s="183">
        <v>91</v>
      </c>
      <c r="E91" s="193">
        <f>1999*1.7</f>
        <v>3398.2999999999997</v>
      </c>
      <c r="F91" s="176">
        <f>+D91*E91</f>
        <v>309245.3</v>
      </c>
      <c r="G91" s="166"/>
      <c r="H91" s="188"/>
      <c r="I91" s="187"/>
      <c r="J91" s="2" t="s">
        <v>318</v>
      </c>
      <c r="K91" s="2" t="s">
        <v>319</v>
      </c>
      <c r="M91" s="53"/>
    </row>
    <row r="92" spans="1:11" s="2" customFormat="1" ht="12.75">
      <c r="A92" s="195" t="s">
        <v>248</v>
      </c>
      <c r="B92" s="189" t="s">
        <v>324</v>
      </c>
      <c r="C92" s="182" t="s">
        <v>133</v>
      </c>
      <c r="D92" s="183">
        <v>1</v>
      </c>
      <c r="E92" s="193">
        <f>3525*1.7*45</f>
        <v>269662.5</v>
      </c>
      <c r="F92" s="173">
        <f>D92*E92</f>
        <v>269662.5</v>
      </c>
      <c r="G92" s="166"/>
      <c r="H92" s="188"/>
      <c r="I92" s="187"/>
      <c r="J92" s="2" t="s">
        <v>318</v>
      </c>
      <c r="K92" s="2" t="s">
        <v>320</v>
      </c>
    </row>
    <row r="93" spans="1:9" s="2" customFormat="1" ht="12.75">
      <c r="A93" s="172"/>
      <c r="B93" s="189"/>
      <c r="C93" s="182"/>
      <c r="D93" s="172"/>
      <c r="E93" s="172"/>
      <c r="F93" s="173"/>
      <c r="G93" s="166"/>
      <c r="H93" s="188"/>
      <c r="I93" s="187"/>
    </row>
    <row r="94" spans="1:10" s="2" customFormat="1" ht="12.75">
      <c r="A94" s="165" t="s">
        <v>250</v>
      </c>
      <c r="B94" s="158" t="s">
        <v>260</v>
      </c>
      <c r="C94" s="162"/>
      <c r="D94" s="62"/>
      <c r="E94" s="35"/>
      <c r="F94" s="36"/>
      <c r="G94" s="181">
        <f>SUM(F95:F97)</f>
        <v>200564.3</v>
      </c>
      <c r="H94" s="209">
        <f>G94/$G$109</f>
        <v>0.0047234945297592755</v>
      </c>
      <c r="I94" s="187"/>
      <c r="J94" s="2" t="s">
        <v>233</v>
      </c>
    </row>
    <row r="95" spans="1:11" s="2" customFormat="1" ht="12.75">
      <c r="A95" s="191" t="s">
        <v>251</v>
      </c>
      <c r="B95" s="189" t="s">
        <v>261</v>
      </c>
      <c r="C95" s="182" t="s">
        <v>209</v>
      </c>
      <c r="D95" s="183">
        <v>130</v>
      </c>
      <c r="E95" s="193">
        <f>248*1.3*1.7</f>
        <v>548.08</v>
      </c>
      <c r="F95" s="176">
        <f>+D95*E95</f>
        <v>71250.40000000001</v>
      </c>
      <c r="G95" s="166"/>
      <c r="H95" s="188"/>
      <c r="I95" s="187"/>
      <c r="J95" s="2" t="s">
        <v>242</v>
      </c>
      <c r="K95" s="2" t="s">
        <v>244</v>
      </c>
    </row>
    <row r="96" spans="1:9" s="2" customFormat="1" ht="12.75">
      <c r="A96" s="191" t="s">
        <v>330</v>
      </c>
      <c r="B96" s="189" t="s">
        <v>262</v>
      </c>
      <c r="C96" s="182" t="s">
        <v>208</v>
      </c>
      <c r="D96" s="183">
        <v>180</v>
      </c>
      <c r="E96" s="193">
        <f>264*1.3*1.7</f>
        <v>583.4399999999999</v>
      </c>
      <c r="F96" s="176">
        <f>+D96*E96</f>
        <v>105019.19999999998</v>
      </c>
      <c r="G96" s="166"/>
      <c r="H96" s="188"/>
      <c r="I96" s="187"/>
    </row>
    <row r="97" spans="1:9" s="2" customFormat="1" ht="12.75">
      <c r="A97" s="191" t="s">
        <v>331</v>
      </c>
      <c r="B97" s="189" t="s">
        <v>263</v>
      </c>
      <c r="C97" s="182" t="s">
        <v>207</v>
      </c>
      <c r="D97" s="183">
        <v>31</v>
      </c>
      <c r="E97" s="193">
        <f>461*1.7</f>
        <v>783.6999999999999</v>
      </c>
      <c r="F97" s="176">
        <f>+D97*E97</f>
        <v>24294.699999999997</v>
      </c>
      <c r="G97" s="166"/>
      <c r="H97" s="188"/>
      <c r="I97" s="187"/>
    </row>
    <row r="98" spans="1:11" s="2" customFormat="1" ht="12.75">
      <c r="A98" s="195"/>
      <c r="B98" s="189"/>
      <c r="C98" s="182"/>
      <c r="D98" s="183"/>
      <c r="E98" s="193"/>
      <c r="F98" s="176"/>
      <c r="G98" s="166"/>
      <c r="H98" s="188"/>
      <c r="I98" s="187"/>
      <c r="J98" s="2" t="s">
        <v>242</v>
      </c>
      <c r="K98" s="2" t="s">
        <v>245</v>
      </c>
    </row>
    <row r="99" spans="1:8" ht="12.75">
      <c r="A99" s="165" t="s">
        <v>195</v>
      </c>
      <c r="B99" s="158" t="s">
        <v>213</v>
      </c>
      <c r="C99" s="162"/>
      <c r="D99" s="62"/>
      <c r="E99" s="35"/>
      <c r="F99" s="36"/>
      <c r="G99" s="181">
        <f>SUM(F100:F103)</f>
        <v>426735.2</v>
      </c>
      <c r="H99" s="209">
        <f>G99/$G$109</f>
        <v>0.010050050696239213</v>
      </c>
    </row>
    <row r="100" spans="1:10" ht="12.75">
      <c r="A100" s="191" t="s">
        <v>202</v>
      </c>
      <c r="B100" s="189" t="s">
        <v>223</v>
      </c>
      <c r="C100" s="182" t="s">
        <v>207</v>
      </c>
      <c r="D100" s="183">
        <v>20</v>
      </c>
      <c r="E100" s="193">
        <f>2646*1.7</f>
        <v>4498.2</v>
      </c>
      <c r="F100" s="185">
        <f>+D100*E100</f>
        <v>89964</v>
      </c>
      <c r="G100" s="196"/>
      <c r="H100" s="188"/>
      <c r="J100" s="1" t="s">
        <v>325</v>
      </c>
    </row>
    <row r="101" spans="1:10" ht="12.75">
      <c r="A101" s="191" t="s">
        <v>203</v>
      </c>
      <c r="B101" s="189" t="s">
        <v>221</v>
      </c>
      <c r="C101" s="182" t="s">
        <v>207</v>
      </c>
      <c r="D101" s="183">
        <v>10</v>
      </c>
      <c r="E101" s="193">
        <f>6190*1.7</f>
        <v>10523</v>
      </c>
      <c r="F101" s="185">
        <f>+D101*E101</f>
        <v>105230</v>
      </c>
      <c r="G101" s="196"/>
      <c r="H101" s="188"/>
      <c r="J101" s="1" t="s">
        <v>325</v>
      </c>
    </row>
    <row r="102" spans="1:10" ht="12.75">
      <c r="A102" s="191" t="s">
        <v>214</v>
      </c>
      <c r="B102" s="189" t="s">
        <v>264</v>
      </c>
      <c r="C102" s="182" t="s">
        <v>207</v>
      </c>
      <c r="D102" s="183">
        <v>9</v>
      </c>
      <c r="E102" s="193">
        <f>7580*1.7</f>
        <v>12886</v>
      </c>
      <c r="F102" s="185">
        <f>+D102*E102</f>
        <v>115974</v>
      </c>
      <c r="G102" s="196"/>
      <c r="H102" s="188"/>
      <c r="J102" s="1" t="s">
        <v>325</v>
      </c>
    </row>
    <row r="103" spans="1:13" ht="12.75">
      <c r="A103" s="191" t="s">
        <v>204</v>
      </c>
      <c r="B103" s="189" t="s">
        <v>224</v>
      </c>
      <c r="C103" s="182" t="s">
        <v>207</v>
      </c>
      <c r="D103" s="183">
        <v>9</v>
      </c>
      <c r="E103" s="193">
        <f>18344*0.7</f>
        <v>12840.8</v>
      </c>
      <c r="F103" s="185">
        <f>+D103*E103</f>
        <v>115567.2</v>
      </c>
      <c r="G103" s="196"/>
      <c r="H103" s="188"/>
      <c r="J103" s="1" t="s">
        <v>325</v>
      </c>
      <c r="K103" s="2"/>
      <c r="L103" s="2"/>
      <c r="M103" s="2"/>
    </row>
    <row r="104" spans="1:8" ht="12.75">
      <c r="A104" s="164"/>
      <c r="B104" s="156"/>
      <c r="C104" s="161"/>
      <c r="D104" s="171"/>
      <c r="E104" s="172"/>
      <c r="F104" s="176"/>
      <c r="G104" s="166"/>
      <c r="H104" s="188"/>
    </row>
    <row r="105" spans="1:8" ht="12.75">
      <c r="A105" s="165" t="s">
        <v>222</v>
      </c>
      <c r="B105" s="158" t="s">
        <v>219</v>
      </c>
      <c r="C105" s="177"/>
      <c r="D105" s="178"/>
      <c r="E105" s="179"/>
      <c r="F105" s="180"/>
      <c r="G105" s="181">
        <f>SUM(F106:F107)</f>
        <v>165962</v>
      </c>
      <c r="H105" s="209">
        <f>G105/$G$109</f>
        <v>0.003908574951513848</v>
      </c>
    </row>
    <row r="106" spans="1:8" ht="12.75">
      <c r="A106" s="191" t="s">
        <v>247</v>
      </c>
      <c r="B106" s="189" t="s">
        <v>140</v>
      </c>
      <c r="C106" s="182" t="s">
        <v>133</v>
      </c>
      <c r="D106" s="183">
        <v>1</v>
      </c>
      <c r="E106" s="193">
        <v>112536</v>
      </c>
      <c r="F106" s="185">
        <f>+D106*E106</f>
        <v>112536</v>
      </c>
      <c r="G106" s="196"/>
      <c r="H106" s="188"/>
    </row>
    <row r="107" spans="1:8" ht="12.75">
      <c r="A107" s="191" t="s">
        <v>205</v>
      </c>
      <c r="B107" s="189" t="s">
        <v>215</v>
      </c>
      <c r="C107" s="182" t="s">
        <v>133</v>
      </c>
      <c r="D107" s="183">
        <v>1</v>
      </c>
      <c r="E107" s="193">
        <v>53426</v>
      </c>
      <c r="F107" s="185">
        <f>+D107*E107</f>
        <v>53426</v>
      </c>
      <c r="G107" s="196"/>
      <c r="H107" s="188"/>
    </row>
    <row r="108" spans="1:8" ht="13.5" thickBot="1">
      <c r="A108" s="144"/>
      <c r="B108" s="156"/>
      <c r="C108" s="161"/>
      <c r="D108" s="171"/>
      <c r="E108" s="172"/>
      <c r="F108" s="176"/>
      <c r="G108" s="166"/>
      <c r="H108" s="188"/>
    </row>
    <row r="109" spans="1:8" ht="13.5" thickBot="1">
      <c r="A109" s="45"/>
      <c r="B109" s="300" t="s">
        <v>10</v>
      </c>
      <c r="C109" s="301"/>
      <c r="D109" s="301"/>
      <c r="E109" s="301"/>
      <c r="F109" s="302"/>
      <c r="G109" s="204">
        <f>SUM(G20:G108)</f>
        <v>42460999.739999995</v>
      </c>
      <c r="H109" s="209">
        <f>G109/$G$109</f>
        <v>1</v>
      </c>
    </row>
    <row r="110" spans="1:7" ht="12.75">
      <c r="A110" s="175"/>
      <c r="F110" s="207" t="s">
        <v>332</v>
      </c>
      <c r="G110" s="205">
        <f>G109-F61</f>
        <v>33605999.739999995</v>
      </c>
    </row>
    <row r="111" spans="2:7" ht="13.5" thickBot="1">
      <c r="B111" s="136"/>
      <c r="F111" s="208" t="s">
        <v>333</v>
      </c>
      <c r="G111" s="206">
        <f>G109-F64</f>
        <v>36202929.739999995</v>
      </c>
    </row>
    <row r="112" ht="12.75">
      <c r="F112" s="39"/>
    </row>
    <row r="113" spans="1:7" ht="12.75">
      <c r="A113" s="134"/>
      <c r="B113" s="136"/>
      <c r="F113" s="39"/>
      <c r="G113" s="139"/>
    </row>
    <row r="114" spans="1:6" ht="12.75">
      <c r="A114" s="134"/>
      <c r="F114" s="39"/>
    </row>
    <row r="115" ht="12.75">
      <c r="F115" s="39"/>
    </row>
    <row r="116" ht="12.75">
      <c r="F116" s="39"/>
    </row>
    <row r="117" spans="4:6" ht="12.75">
      <c r="D117" s="13"/>
      <c r="F117" s="39"/>
    </row>
    <row r="118" spans="5:6" ht="15">
      <c r="E118" s="151"/>
      <c r="F118" s="39"/>
    </row>
    <row r="119" spans="5:6" ht="15">
      <c r="E119" s="151"/>
      <c r="F119" s="39"/>
    </row>
    <row r="120" ht="12.75">
      <c r="F120" s="39"/>
    </row>
    <row r="121" ht="12.75">
      <c r="F121" s="39"/>
    </row>
    <row r="122" ht="12.75">
      <c r="F122" s="39"/>
    </row>
    <row r="123" ht="12.75">
      <c r="F123" s="39"/>
    </row>
    <row r="124" ht="12.75">
      <c r="F124" s="39"/>
    </row>
    <row r="125" ht="12.75">
      <c r="F125" s="39"/>
    </row>
    <row r="131" spans="4:7" ht="12.75">
      <c r="D131" s="134"/>
      <c r="E131" s="134"/>
      <c r="F131" s="134"/>
      <c r="G131" s="134"/>
    </row>
    <row r="132" spans="4:7" ht="12.75">
      <c r="D132" s="134"/>
      <c r="E132" s="134"/>
      <c r="F132" s="134"/>
      <c r="G132" s="134"/>
    </row>
    <row r="133" spans="4:7" ht="12.75">
      <c r="D133" s="134"/>
      <c r="E133" s="134"/>
      <c r="F133" s="134"/>
      <c r="G133" s="134"/>
    </row>
    <row r="134" spans="4:7" ht="12.75">
      <c r="D134" s="134"/>
      <c r="E134" s="134"/>
      <c r="F134" s="134"/>
      <c r="G134" s="134"/>
    </row>
    <row r="135" spans="4:7" ht="12.75">
      <c r="D135" s="134"/>
      <c r="E135" s="134"/>
      <c r="F135" s="134"/>
      <c r="G135" s="134"/>
    </row>
    <row r="136" spans="4:7" ht="12.75">
      <c r="D136" s="134"/>
      <c r="E136" s="134"/>
      <c r="F136" s="134"/>
      <c r="G136" s="134"/>
    </row>
    <row r="137" spans="4:7" ht="12.75">
      <c r="D137" s="134"/>
      <c r="E137" s="134"/>
      <c r="F137" s="134"/>
      <c r="G137" s="134"/>
    </row>
    <row r="138" spans="4:7" ht="12.75">
      <c r="D138" s="134"/>
      <c r="E138" s="134"/>
      <c r="F138" s="134"/>
      <c r="G138" s="134"/>
    </row>
    <row r="139" spans="4:7" ht="12.75">
      <c r="D139" s="134"/>
      <c r="E139" s="134"/>
      <c r="F139" s="134"/>
      <c r="G139" s="134"/>
    </row>
    <row r="140" spans="4:7" ht="12.75">
      <c r="D140" s="134"/>
      <c r="E140" s="134"/>
      <c r="F140" s="134"/>
      <c r="G140" s="134"/>
    </row>
    <row r="141" spans="4:7" ht="12.75">
      <c r="D141" s="134"/>
      <c r="E141" s="134"/>
      <c r="F141" s="134"/>
      <c r="G141" s="134"/>
    </row>
    <row r="142" spans="4:7" ht="12.75">
      <c r="D142" s="134"/>
      <c r="E142" s="134"/>
      <c r="F142" s="134"/>
      <c r="G142" s="134"/>
    </row>
    <row r="143" spans="4:7" ht="12.75">
      <c r="D143" s="134"/>
      <c r="E143" s="134"/>
      <c r="F143" s="134"/>
      <c r="G143" s="134"/>
    </row>
    <row r="144" spans="4:7" ht="12.75">
      <c r="D144" s="134"/>
      <c r="E144" s="134"/>
      <c r="F144" s="134"/>
      <c r="G144" s="134"/>
    </row>
    <row r="145" spans="4:7" ht="12.75">
      <c r="D145" s="134"/>
      <c r="E145" s="134"/>
      <c r="F145" s="134"/>
      <c r="G145" s="134"/>
    </row>
    <row r="146" spans="4:7" ht="12.75">
      <c r="D146" s="134"/>
      <c r="E146" s="134"/>
      <c r="F146" s="134"/>
      <c r="G146" s="134"/>
    </row>
    <row r="147" spans="4:7" ht="12.75">
      <c r="D147" s="134"/>
      <c r="E147" s="134"/>
      <c r="F147" s="134"/>
      <c r="G147" s="134"/>
    </row>
    <row r="148" spans="4:7" ht="12.75">
      <c r="D148" s="134"/>
      <c r="E148" s="134"/>
      <c r="F148" s="134"/>
      <c r="G148" s="134"/>
    </row>
    <row r="149" spans="4:7" ht="12.75">
      <c r="D149" s="134"/>
      <c r="E149" s="134"/>
      <c r="F149" s="134"/>
      <c r="G149" s="134"/>
    </row>
    <row r="150" spans="4:7" ht="12.75">
      <c r="D150" s="134"/>
      <c r="E150" s="134"/>
      <c r="F150" s="134"/>
      <c r="G150" s="134"/>
    </row>
    <row r="151" spans="4:7" ht="12.75">
      <c r="D151" s="134"/>
      <c r="E151" s="134"/>
      <c r="F151" s="134"/>
      <c r="G151" s="134"/>
    </row>
    <row r="152" spans="4:7" ht="12.75">
      <c r="D152" s="134"/>
      <c r="E152" s="134"/>
      <c r="F152" s="134"/>
      <c r="G152" s="134"/>
    </row>
    <row r="153" spans="4:7" ht="12.75">
      <c r="D153" s="134"/>
      <c r="E153" s="134"/>
      <c r="F153" s="134"/>
      <c r="G153" s="134"/>
    </row>
    <row r="154" spans="4:7" ht="12.75">
      <c r="D154" s="134"/>
      <c r="E154" s="134"/>
      <c r="F154" s="134"/>
      <c r="G154" s="134"/>
    </row>
    <row r="155" spans="4:7" ht="12.75">
      <c r="D155" s="134"/>
      <c r="E155" s="134"/>
      <c r="F155" s="134"/>
      <c r="G155" s="134"/>
    </row>
  </sheetData>
  <sheetProtection/>
  <mergeCells count="20">
    <mergeCell ref="B109:F109"/>
    <mergeCell ref="A15:G15"/>
    <mergeCell ref="C16:G16"/>
    <mergeCell ref="C17:G17"/>
    <mergeCell ref="A18:G18"/>
    <mergeCell ref="A16:B17"/>
    <mergeCell ref="A1:G1"/>
    <mergeCell ref="A2:G2"/>
    <mergeCell ref="A13:G13"/>
    <mergeCell ref="A14:G14"/>
    <mergeCell ref="A12:G12"/>
    <mergeCell ref="A8:G8"/>
    <mergeCell ref="A3:G3"/>
    <mergeCell ref="A9:G9"/>
    <mergeCell ref="A10:G10"/>
    <mergeCell ref="A11:G11"/>
    <mergeCell ref="A4:G4"/>
    <mergeCell ref="A5:G5"/>
    <mergeCell ref="A6:G6"/>
    <mergeCell ref="A7:G7"/>
  </mergeCells>
  <conditionalFormatting sqref="C17:C18 A3:G11 A18:B18 D18:G18 A13:G13 A12">
    <cfRule type="containsText" priority="1" dxfId="3" operator="containsText" text="1.0.0">
      <formula>NOT(ISERROR(SEARCH("1.0.0",A3)))</formula>
    </cfRule>
  </conditionalFormatting>
  <printOptions horizontalCentered="1"/>
  <pageMargins left="0.25" right="0.25" top="0.75" bottom="0.75" header="0.3" footer="0.3"/>
  <pageSetup fitToHeight="0" fitToWidth="1" horizontalDpi="600" verticalDpi="600" orientation="portrait" paperSize="9" scale="58" r:id="rId3"/>
  <ignoredErrors>
    <ignoredError sqref="H43 H56 H63" formula="1"/>
  </ignoredErrors>
  <legacyDrawing r:id="rId2"/>
  <oleObjects>
    <oleObject progId="Word.Picture.8" shapeId="15065521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2"/>
  <sheetViews>
    <sheetView tabSelected="1" zoomScale="115" zoomScaleNormal="115" zoomScaleSheetLayoutView="70" zoomScalePageLayoutView="0" workbookViewId="0" topLeftCell="A7">
      <selection activeCell="D20" sqref="D20"/>
    </sheetView>
  </sheetViews>
  <sheetFormatPr defaultColWidth="11.421875" defaultRowHeight="15"/>
  <cols>
    <col min="1" max="1" width="4.421875" style="224" bestFit="1" customWidth="1"/>
    <col min="2" max="2" width="69.140625" style="236" customWidth="1"/>
    <col min="3" max="3" width="7.8515625" style="141" customWidth="1"/>
    <col min="4" max="4" width="10.00390625" style="142" bestFit="1" customWidth="1"/>
    <col min="5" max="7" width="18.140625" style="143" customWidth="1"/>
    <col min="8" max="8" width="9.8515625" style="187" customWidth="1"/>
    <col min="9" max="16384" width="11.421875" style="134" customWidth="1"/>
  </cols>
  <sheetData>
    <row r="1" spans="1:7" ht="12.75">
      <c r="A1" s="313"/>
      <c r="B1" s="314"/>
      <c r="C1" s="314"/>
      <c r="D1" s="314"/>
      <c r="E1" s="314"/>
      <c r="F1" s="314"/>
      <c r="G1" s="315"/>
    </row>
    <row r="2" spans="1:7" ht="12.75">
      <c r="A2" s="288"/>
      <c r="B2" s="289"/>
      <c r="C2" s="289"/>
      <c r="D2" s="289"/>
      <c r="E2" s="289"/>
      <c r="F2" s="289"/>
      <c r="G2" s="290"/>
    </row>
    <row r="3" spans="1:7" ht="12.75">
      <c r="A3" s="288"/>
      <c r="B3" s="289"/>
      <c r="C3" s="289"/>
      <c r="D3" s="289"/>
      <c r="E3" s="289"/>
      <c r="F3" s="289"/>
      <c r="G3" s="290"/>
    </row>
    <row r="4" spans="1:25" ht="12.75">
      <c r="A4" s="288"/>
      <c r="B4" s="289"/>
      <c r="C4" s="289"/>
      <c r="D4" s="289"/>
      <c r="E4" s="289"/>
      <c r="F4" s="289"/>
      <c r="G4" s="290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</row>
    <row r="5" spans="1:25" ht="12.75">
      <c r="A5" s="288"/>
      <c r="B5" s="289"/>
      <c r="C5" s="289"/>
      <c r="D5" s="289"/>
      <c r="E5" s="289"/>
      <c r="F5" s="289"/>
      <c r="G5" s="290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</row>
    <row r="6" spans="1:25" ht="12.75">
      <c r="A6" s="288"/>
      <c r="B6" s="289"/>
      <c r="C6" s="289"/>
      <c r="D6" s="289"/>
      <c r="E6" s="289"/>
      <c r="F6" s="289"/>
      <c r="G6" s="290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</row>
    <row r="7" spans="1:25" ht="12.75">
      <c r="A7" s="288"/>
      <c r="B7" s="289"/>
      <c r="C7" s="289"/>
      <c r="D7" s="289"/>
      <c r="E7" s="289"/>
      <c r="F7" s="289"/>
      <c r="G7" s="290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</row>
    <row r="8" spans="1:25" s="135" customFormat="1" ht="12.75">
      <c r="A8" s="297" t="s">
        <v>28</v>
      </c>
      <c r="B8" s="298"/>
      <c r="C8" s="298"/>
      <c r="D8" s="298"/>
      <c r="E8" s="298"/>
      <c r="F8" s="298"/>
      <c r="G8" s="299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</row>
    <row r="9" spans="1:25" s="135" customFormat="1" ht="12.75">
      <c r="A9" s="297" t="s">
        <v>29</v>
      </c>
      <c r="B9" s="298"/>
      <c r="C9" s="298"/>
      <c r="D9" s="298"/>
      <c r="E9" s="298"/>
      <c r="F9" s="298"/>
      <c r="G9" s="299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</row>
    <row r="10" spans="1:25" s="135" customFormat="1" ht="12.75">
      <c r="A10" s="297" t="s">
        <v>30</v>
      </c>
      <c r="B10" s="298"/>
      <c r="C10" s="298"/>
      <c r="D10" s="298"/>
      <c r="E10" s="298"/>
      <c r="F10" s="298"/>
      <c r="G10" s="299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</row>
    <row r="11" spans="1:25" s="135" customFormat="1" ht="12.75">
      <c r="A11" s="297" t="s">
        <v>31</v>
      </c>
      <c r="B11" s="298"/>
      <c r="C11" s="298"/>
      <c r="D11" s="298"/>
      <c r="E11" s="298"/>
      <c r="F11" s="298"/>
      <c r="G11" s="299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</row>
    <row r="12" spans="1:25" s="135" customFormat="1" ht="12.75">
      <c r="A12" s="297"/>
      <c r="B12" s="298"/>
      <c r="C12" s="298"/>
      <c r="D12" s="298"/>
      <c r="E12" s="298"/>
      <c r="F12" s="298"/>
      <c r="G12" s="299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</row>
    <row r="13" spans="1:25" s="135" customFormat="1" ht="13.5" thickBot="1">
      <c r="A13" s="291"/>
      <c r="B13" s="292"/>
      <c r="C13" s="292"/>
      <c r="D13" s="292"/>
      <c r="E13" s="292"/>
      <c r="F13" s="292"/>
      <c r="G13" s="293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</row>
    <row r="14" spans="1:25" s="135" customFormat="1" ht="13.5" thickBot="1">
      <c r="A14" s="316" t="s">
        <v>488</v>
      </c>
      <c r="B14" s="295"/>
      <c r="C14" s="295"/>
      <c r="D14" s="295"/>
      <c r="E14" s="295"/>
      <c r="F14" s="295"/>
      <c r="G14" s="296"/>
      <c r="H14" s="199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</row>
    <row r="15" spans="1:25" s="135" customFormat="1" ht="13.5" thickBot="1">
      <c r="A15" s="303" t="s">
        <v>252</v>
      </c>
      <c r="B15" s="304"/>
      <c r="C15" s="304"/>
      <c r="D15" s="304"/>
      <c r="E15" s="304"/>
      <c r="F15" s="304"/>
      <c r="G15" s="305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</row>
    <row r="16" spans="1:25" s="135" customFormat="1" ht="13.5" thickBot="1">
      <c r="A16" s="309" t="s">
        <v>253</v>
      </c>
      <c r="B16" s="310"/>
      <c r="C16" s="303" t="s">
        <v>336</v>
      </c>
      <c r="D16" s="304"/>
      <c r="E16" s="304"/>
      <c r="F16" s="304"/>
      <c r="G16" s="305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</row>
    <row r="17" spans="1:25" s="135" customFormat="1" ht="13.5" thickBot="1">
      <c r="A17" s="311"/>
      <c r="B17" s="312"/>
      <c r="C17" s="303"/>
      <c r="D17" s="304"/>
      <c r="E17" s="304"/>
      <c r="F17" s="304"/>
      <c r="G17" s="305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</row>
    <row r="18" spans="1:25" s="135" customFormat="1" ht="13.5" thickBot="1">
      <c r="A18" s="306"/>
      <c r="B18" s="307"/>
      <c r="C18" s="307"/>
      <c r="D18" s="307"/>
      <c r="E18" s="307"/>
      <c r="F18" s="307"/>
      <c r="G18" s="308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</row>
    <row r="19" spans="1:8" ht="26.25" thickBot="1">
      <c r="A19" s="214"/>
      <c r="B19" s="230" t="s">
        <v>24</v>
      </c>
      <c r="C19" s="167" t="s">
        <v>0</v>
      </c>
      <c r="D19" s="168" t="s">
        <v>1</v>
      </c>
      <c r="E19" s="169" t="s">
        <v>2</v>
      </c>
      <c r="F19" s="170" t="s">
        <v>25</v>
      </c>
      <c r="G19" s="137" t="s">
        <v>26</v>
      </c>
      <c r="H19" s="197" t="s">
        <v>334</v>
      </c>
    </row>
    <row r="20" spans="1:8" ht="12.75">
      <c r="A20" s="215" t="s">
        <v>33</v>
      </c>
      <c r="B20" s="231" t="s">
        <v>3</v>
      </c>
      <c r="C20" s="248"/>
      <c r="D20" s="203"/>
      <c r="E20" s="159"/>
      <c r="F20" s="160"/>
      <c r="G20" s="147">
        <f>SUM(F21:F31)</f>
        <v>0</v>
      </c>
      <c r="H20" s="209">
        <v>0</v>
      </c>
    </row>
    <row r="21" spans="1:8" s="138" customFormat="1" ht="12.75">
      <c r="A21" s="217" t="s">
        <v>34</v>
      </c>
      <c r="B21" s="232" t="s">
        <v>196</v>
      </c>
      <c r="C21" s="126" t="s">
        <v>206</v>
      </c>
      <c r="D21" s="183">
        <v>200</v>
      </c>
      <c r="E21" s="37"/>
      <c r="F21" s="185">
        <f aca="true" t="shared" si="0" ref="F21:F31">+D21*E21</f>
        <v>0</v>
      </c>
      <c r="G21" s="186"/>
      <c r="H21" s="188"/>
    </row>
    <row r="22" spans="1:8" s="138" customFormat="1" ht="12.75">
      <c r="A22" s="217" t="s">
        <v>35</v>
      </c>
      <c r="B22" s="232" t="s">
        <v>210</v>
      </c>
      <c r="C22" s="126" t="s">
        <v>133</v>
      </c>
      <c r="D22" s="183">
        <v>1</v>
      </c>
      <c r="E22" s="37"/>
      <c r="F22" s="185">
        <f t="shared" si="0"/>
        <v>0</v>
      </c>
      <c r="G22" s="186"/>
      <c r="H22" s="188"/>
    </row>
    <row r="23" spans="1:8" s="138" customFormat="1" ht="12.75">
      <c r="A23" s="217" t="s">
        <v>36</v>
      </c>
      <c r="B23" s="232" t="s">
        <v>197</v>
      </c>
      <c r="C23" s="126" t="s">
        <v>133</v>
      </c>
      <c r="D23" s="183">
        <v>1</v>
      </c>
      <c r="E23" s="37"/>
      <c r="F23" s="185">
        <f t="shared" si="0"/>
        <v>0</v>
      </c>
      <c r="G23" s="186"/>
      <c r="H23" s="188"/>
    </row>
    <row r="24" spans="1:8" s="138" customFormat="1" ht="12.75">
      <c r="A24" s="217" t="s">
        <v>37</v>
      </c>
      <c r="B24" s="232" t="s">
        <v>225</v>
      </c>
      <c r="C24" s="126" t="s">
        <v>133</v>
      </c>
      <c r="D24" s="183">
        <v>1</v>
      </c>
      <c r="E24" s="37"/>
      <c r="F24" s="185">
        <f t="shared" si="0"/>
        <v>0</v>
      </c>
      <c r="G24" s="186"/>
      <c r="H24" s="188"/>
    </row>
    <row r="25" spans="1:8" s="138" customFormat="1" ht="12.75">
      <c r="A25" s="217" t="s">
        <v>38</v>
      </c>
      <c r="B25" s="238" t="s">
        <v>23</v>
      </c>
      <c r="C25" s="126" t="s">
        <v>133</v>
      </c>
      <c r="D25" s="183">
        <v>1</v>
      </c>
      <c r="E25" s="37"/>
      <c r="F25" s="185">
        <f t="shared" si="0"/>
        <v>0</v>
      </c>
      <c r="G25" s="186"/>
      <c r="H25" s="188"/>
    </row>
    <row r="26" spans="1:8" s="138" customFormat="1" ht="12.75">
      <c r="A26" s="217" t="s">
        <v>187</v>
      </c>
      <c r="B26" s="232" t="s">
        <v>198</v>
      </c>
      <c r="C26" s="126" t="s">
        <v>133</v>
      </c>
      <c r="D26" s="183">
        <v>1</v>
      </c>
      <c r="E26" s="37"/>
      <c r="F26" s="185">
        <f t="shared" si="0"/>
        <v>0</v>
      </c>
      <c r="G26" s="186"/>
      <c r="H26" s="188"/>
    </row>
    <row r="27" spans="1:8" s="138" customFormat="1" ht="12.75">
      <c r="A27" s="217" t="s">
        <v>188</v>
      </c>
      <c r="B27" s="232" t="s">
        <v>199</v>
      </c>
      <c r="C27" s="126" t="s">
        <v>207</v>
      </c>
      <c r="D27" s="183">
        <v>1</v>
      </c>
      <c r="E27" s="37"/>
      <c r="F27" s="185">
        <f t="shared" si="0"/>
        <v>0</v>
      </c>
      <c r="G27" s="186"/>
      <c r="H27" s="188"/>
    </row>
    <row r="28" spans="1:8" s="138" customFormat="1" ht="12.75">
      <c r="A28" s="217" t="s">
        <v>211</v>
      </c>
      <c r="B28" s="233" t="s">
        <v>370</v>
      </c>
      <c r="C28" s="126" t="s">
        <v>133</v>
      </c>
      <c r="D28" s="183">
        <v>1</v>
      </c>
      <c r="E28" s="37"/>
      <c r="F28" s="185">
        <f t="shared" si="0"/>
        <v>0</v>
      </c>
      <c r="G28" s="186"/>
      <c r="H28" s="188"/>
    </row>
    <row r="29" spans="1:8" s="138" customFormat="1" ht="12.75">
      <c r="A29" s="217" t="s">
        <v>368</v>
      </c>
      <c r="B29" s="232" t="s">
        <v>379</v>
      </c>
      <c r="C29" s="126" t="s">
        <v>133</v>
      </c>
      <c r="D29" s="183">
        <v>1</v>
      </c>
      <c r="E29" s="249"/>
      <c r="F29" s="185">
        <f t="shared" si="0"/>
        <v>0</v>
      </c>
      <c r="G29" s="186"/>
      <c r="H29" s="188"/>
    </row>
    <row r="30" spans="1:8" s="138" customFormat="1" ht="12.75">
      <c r="A30" s="217" t="s">
        <v>474</v>
      </c>
      <c r="B30" s="232" t="s">
        <v>432</v>
      </c>
      <c r="C30" s="5" t="s">
        <v>133</v>
      </c>
      <c r="D30" s="171">
        <v>1</v>
      </c>
      <c r="E30" s="249"/>
      <c r="F30" s="185">
        <f t="shared" si="0"/>
        <v>0</v>
      </c>
      <c r="G30" s="166"/>
      <c r="H30" s="188"/>
    </row>
    <row r="31" spans="1:8" s="138" customFormat="1" ht="12.75">
      <c r="A31" s="217" t="s">
        <v>475</v>
      </c>
      <c r="B31" s="232" t="s">
        <v>476</v>
      </c>
      <c r="C31" s="5" t="s">
        <v>133</v>
      </c>
      <c r="D31" s="171">
        <v>1</v>
      </c>
      <c r="E31" s="249"/>
      <c r="F31" s="185">
        <f t="shared" si="0"/>
        <v>0</v>
      </c>
      <c r="G31" s="166"/>
      <c r="H31" s="188"/>
    </row>
    <row r="32" spans="1:8" s="138" customFormat="1" ht="12.75">
      <c r="A32" s="232"/>
      <c r="B32" s="232"/>
      <c r="C32" s="126"/>
      <c r="D32" s="183"/>
      <c r="E32" s="184"/>
      <c r="F32" s="185"/>
      <c r="G32" s="186"/>
      <c r="H32" s="188"/>
    </row>
    <row r="33" spans="1:8" s="138" customFormat="1" ht="12.75">
      <c r="A33" s="218" t="s">
        <v>39</v>
      </c>
      <c r="B33" s="234" t="s">
        <v>228</v>
      </c>
      <c r="C33" s="8"/>
      <c r="D33" s="62"/>
      <c r="E33" s="35"/>
      <c r="F33" s="36"/>
      <c r="G33" s="150">
        <f>SUM(F34:F45)</f>
        <v>0</v>
      </c>
      <c r="H33" s="209">
        <v>0</v>
      </c>
    </row>
    <row r="34" spans="1:8" s="138" customFormat="1" ht="12.75">
      <c r="A34" s="217" t="s">
        <v>40</v>
      </c>
      <c r="B34" s="233" t="s">
        <v>391</v>
      </c>
      <c r="C34" s="5" t="s">
        <v>208</v>
      </c>
      <c r="D34" s="171">
        <f>15+58</f>
        <v>73</v>
      </c>
      <c r="E34" s="172"/>
      <c r="F34" s="185">
        <f aca="true" t="shared" si="1" ref="F34:F45">+D34*E34</f>
        <v>0</v>
      </c>
      <c r="G34" s="148"/>
      <c r="H34" s="188"/>
    </row>
    <row r="35" spans="1:8" s="138" customFormat="1" ht="12.75">
      <c r="A35" s="217" t="s">
        <v>41</v>
      </c>
      <c r="B35" s="233" t="s">
        <v>359</v>
      </c>
      <c r="C35" s="5" t="s">
        <v>208</v>
      </c>
      <c r="D35" s="171">
        <v>357</v>
      </c>
      <c r="E35" s="172"/>
      <c r="F35" s="185">
        <f t="shared" si="1"/>
        <v>0</v>
      </c>
      <c r="G35" s="148"/>
      <c r="H35" s="188"/>
    </row>
    <row r="36" spans="1:8" s="138" customFormat="1" ht="12.75">
      <c r="A36" s="217" t="s">
        <v>42</v>
      </c>
      <c r="B36" s="233" t="s">
        <v>380</v>
      </c>
      <c r="C36" s="5" t="s">
        <v>208</v>
      </c>
      <c r="D36" s="171">
        <v>68</v>
      </c>
      <c r="E36" s="172"/>
      <c r="F36" s="185">
        <f t="shared" si="1"/>
        <v>0</v>
      </c>
      <c r="G36" s="148"/>
      <c r="H36" s="188"/>
    </row>
    <row r="37" spans="1:8" s="138" customFormat="1" ht="12.75">
      <c r="A37" s="217" t="s">
        <v>43</v>
      </c>
      <c r="B37" s="233" t="s">
        <v>365</v>
      </c>
      <c r="C37" s="5" t="s">
        <v>208</v>
      </c>
      <c r="D37" s="171">
        <v>10</v>
      </c>
      <c r="E37" s="172"/>
      <c r="F37" s="185">
        <f t="shared" si="1"/>
        <v>0</v>
      </c>
      <c r="G37" s="148"/>
      <c r="H37" s="188"/>
    </row>
    <row r="38" spans="1:8" s="138" customFormat="1" ht="12.75">
      <c r="A38" s="217" t="s">
        <v>44</v>
      </c>
      <c r="B38" s="233" t="s">
        <v>358</v>
      </c>
      <c r="C38" s="5" t="s">
        <v>209</v>
      </c>
      <c r="D38" s="171">
        <v>3</v>
      </c>
      <c r="E38" s="172"/>
      <c r="F38" s="185">
        <f t="shared" si="1"/>
        <v>0</v>
      </c>
      <c r="G38" s="148"/>
      <c r="H38" s="188"/>
    </row>
    <row r="39" spans="1:8" s="138" customFormat="1" ht="12.75">
      <c r="A39" s="217" t="s">
        <v>45</v>
      </c>
      <c r="B39" s="233" t="s">
        <v>366</v>
      </c>
      <c r="C39" s="5" t="s">
        <v>209</v>
      </c>
      <c r="D39" s="171">
        <v>3</v>
      </c>
      <c r="E39" s="172"/>
      <c r="F39" s="185">
        <f t="shared" si="1"/>
        <v>0</v>
      </c>
      <c r="G39" s="148"/>
      <c r="H39" s="188"/>
    </row>
    <row r="40" spans="1:8" s="138" customFormat="1" ht="12.75">
      <c r="A40" s="217" t="s">
        <v>46</v>
      </c>
      <c r="B40" s="233" t="s">
        <v>371</v>
      </c>
      <c r="C40" s="5" t="s">
        <v>206</v>
      </c>
      <c r="D40" s="171">
        <f>4+6+30+21</f>
        <v>61</v>
      </c>
      <c r="E40" s="172"/>
      <c r="F40" s="185">
        <f t="shared" si="1"/>
        <v>0</v>
      </c>
      <c r="G40" s="148"/>
      <c r="H40" s="188"/>
    </row>
    <row r="41" spans="1:8" s="138" customFormat="1" ht="12.75">
      <c r="A41" s="217" t="s">
        <v>47</v>
      </c>
      <c r="B41" s="233" t="s">
        <v>356</v>
      </c>
      <c r="C41" s="5" t="s">
        <v>206</v>
      </c>
      <c r="D41" s="171">
        <v>25</v>
      </c>
      <c r="E41" s="172"/>
      <c r="F41" s="185">
        <f t="shared" si="1"/>
        <v>0</v>
      </c>
      <c r="G41" s="148"/>
      <c r="H41" s="188"/>
    </row>
    <row r="42" spans="1:8" s="138" customFormat="1" ht="12.75">
      <c r="A42" s="217" t="s">
        <v>48</v>
      </c>
      <c r="B42" s="233" t="s">
        <v>355</v>
      </c>
      <c r="C42" s="5" t="s">
        <v>133</v>
      </c>
      <c r="D42" s="171">
        <v>1</v>
      </c>
      <c r="E42" s="172"/>
      <c r="F42" s="185">
        <f t="shared" si="1"/>
        <v>0</v>
      </c>
      <c r="G42" s="148"/>
      <c r="H42" s="188"/>
    </row>
    <row r="43" spans="1:8" s="138" customFormat="1" ht="12.75">
      <c r="A43" s="217" t="s">
        <v>49</v>
      </c>
      <c r="B43" s="237" t="s">
        <v>381</v>
      </c>
      <c r="C43" s="5" t="s">
        <v>206</v>
      </c>
      <c r="D43" s="171">
        <v>42</v>
      </c>
      <c r="E43" s="172"/>
      <c r="F43" s="185">
        <f t="shared" si="1"/>
        <v>0</v>
      </c>
      <c r="G43" s="148"/>
      <c r="H43" s="188"/>
    </row>
    <row r="44" spans="1:8" s="138" customFormat="1" ht="12.75">
      <c r="A44" s="217" t="s">
        <v>50</v>
      </c>
      <c r="B44" s="233" t="s">
        <v>357</v>
      </c>
      <c r="C44" s="5" t="s">
        <v>206</v>
      </c>
      <c r="D44" s="171">
        <v>108</v>
      </c>
      <c r="E44" s="172"/>
      <c r="F44" s="185">
        <f t="shared" si="1"/>
        <v>0</v>
      </c>
      <c r="G44" s="148"/>
      <c r="H44" s="188"/>
    </row>
    <row r="45" spans="1:8" s="138" customFormat="1" ht="12.75">
      <c r="A45" s="217" t="s">
        <v>51</v>
      </c>
      <c r="B45" s="233" t="s">
        <v>273</v>
      </c>
      <c r="C45" s="5" t="s">
        <v>133</v>
      </c>
      <c r="D45" s="171">
        <v>1</v>
      </c>
      <c r="E45" s="172"/>
      <c r="F45" s="185">
        <f t="shared" si="1"/>
        <v>0</v>
      </c>
      <c r="G45" s="148"/>
      <c r="H45" s="188"/>
    </row>
    <row r="46" spans="1:8" s="138" customFormat="1" ht="12.75">
      <c r="A46" s="216"/>
      <c r="B46" s="232"/>
      <c r="C46" s="126"/>
      <c r="D46" s="183"/>
      <c r="E46" s="193"/>
      <c r="F46" s="176"/>
      <c r="G46" s="148"/>
      <c r="H46" s="188"/>
    </row>
    <row r="47" spans="1:8" s="138" customFormat="1" ht="12.75">
      <c r="A47" s="219" t="s">
        <v>189</v>
      </c>
      <c r="B47" s="234" t="s">
        <v>341</v>
      </c>
      <c r="C47" s="239"/>
      <c r="D47" s="153"/>
      <c r="E47" s="154"/>
      <c r="F47" s="174"/>
      <c r="G47" s="149">
        <f>SUM(F48:F62)</f>
        <v>0</v>
      </c>
      <c r="H47" s="209">
        <v>0</v>
      </c>
    </row>
    <row r="48" spans="1:8" s="138" customFormat="1" ht="12.75">
      <c r="A48" s="217" t="s">
        <v>226</v>
      </c>
      <c r="B48" s="233" t="s">
        <v>384</v>
      </c>
      <c r="C48" s="5" t="s">
        <v>209</v>
      </c>
      <c r="D48" s="171">
        <f>(12+6)*0.15</f>
        <v>2.6999999999999997</v>
      </c>
      <c r="E48" s="172"/>
      <c r="F48" s="185">
        <f aca="true" t="shared" si="2" ref="F48:F62">+D48*E48</f>
        <v>0</v>
      </c>
      <c r="G48" s="148"/>
      <c r="H48" s="188"/>
    </row>
    <row r="49" spans="1:8" s="138" customFormat="1" ht="12.75">
      <c r="A49" s="217" t="s">
        <v>227</v>
      </c>
      <c r="B49" s="233" t="s">
        <v>388</v>
      </c>
      <c r="C49" s="5" t="s">
        <v>209</v>
      </c>
      <c r="D49" s="171">
        <f>223*0.15</f>
        <v>33.449999999999996</v>
      </c>
      <c r="E49" s="172"/>
      <c r="F49" s="185">
        <f t="shared" si="2"/>
        <v>0</v>
      </c>
      <c r="G49" s="148"/>
      <c r="H49" s="188"/>
    </row>
    <row r="50" spans="1:8" s="138" customFormat="1" ht="12.75">
      <c r="A50" s="217" t="s">
        <v>326</v>
      </c>
      <c r="B50" s="233" t="s">
        <v>398</v>
      </c>
      <c r="C50" s="5" t="s">
        <v>209</v>
      </c>
      <c r="D50" s="171">
        <f>((0.6*0.2)+(0.4*0.15))*96</f>
        <v>17.28</v>
      </c>
      <c r="E50" s="172"/>
      <c r="F50" s="185">
        <f t="shared" si="2"/>
        <v>0</v>
      </c>
      <c r="G50" s="148"/>
      <c r="H50" s="188"/>
    </row>
    <row r="51" spans="1:8" s="138" customFormat="1" ht="12.75">
      <c r="A51" s="217" t="s">
        <v>327</v>
      </c>
      <c r="B51" s="233" t="s">
        <v>399</v>
      </c>
      <c r="C51" s="5" t="s">
        <v>209</v>
      </c>
      <c r="D51" s="171">
        <f>25*0.18</f>
        <v>4.5</v>
      </c>
      <c r="E51" s="172"/>
      <c r="F51" s="185">
        <f t="shared" si="2"/>
        <v>0</v>
      </c>
      <c r="G51" s="148"/>
      <c r="H51" s="188"/>
    </row>
    <row r="52" spans="1:8" s="138" customFormat="1" ht="12.75">
      <c r="A52" s="217" t="s">
        <v>328</v>
      </c>
      <c r="B52" s="233" t="s">
        <v>373</v>
      </c>
      <c r="C52" s="5" t="s">
        <v>209</v>
      </c>
      <c r="D52" s="171">
        <f>0.2*0.2*35</f>
        <v>1.4000000000000004</v>
      </c>
      <c r="E52" s="172"/>
      <c r="F52" s="185">
        <f t="shared" si="2"/>
        <v>0</v>
      </c>
      <c r="G52" s="148"/>
      <c r="H52" s="188"/>
    </row>
    <row r="53" spans="1:8" s="138" customFormat="1" ht="12.75">
      <c r="A53" s="217" t="s">
        <v>329</v>
      </c>
      <c r="B53" s="233" t="s">
        <v>377</v>
      </c>
      <c r="C53" s="5" t="s">
        <v>209</v>
      </c>
      <c r="D53" s="171">
        <f>0.3*0.15*2.6*26</f>
        <v>3.042</v>
      </c>
      <c r="E53" s="172"/>
      <c r="F53" s="185">
        <f t="shared" si="2"/>
        <v>0</v>
      </c>
      <c r="G53" s="148"/>
      <c r="H53" s="188"/>
    </row>
    <row r="54" spans="1:8" s="138" customFormat="1" ht="12.75">
      <c r="A54" s="217" t="s">
        <v>339</v>
      </c>
      <c r="B54" s="233" t="s">
        <v>378</v>
      </c>
      <c r="C54" s="5" t="s">
        <v>209</v>
      </c>
      <c r="D54" s="171">
        <f>84*0.4*0.15</f>
        <v>5.04</v>
      </c>
      <c r="E54" s="172"/>
      <c r="F54" s="185">
        <f t="shared" si="2"/>
        <v>0</v>
      </c>
      <c r="G54" s="148"/>
      <c r="H54" s="188"/>
    </row>
    <row r="55" spans="1:8" s="138" customFormat="1" ht="12.75">
      <c r="A55" s="217" t="s">
        <v>340</v>
      </c>
      <c r="B55" s="233" t="s">
        <v>383</v>
      </c>
      <c r="C55" s="5" t="s">
        <v>209</v>
      </c>
      <c r="D55" s="171">
        <f>20*0.2</f>
        <v>4</v>
      </c>
      <c r="E55" s="172"/>
      <c r="F55" s="185">
        <f t="shared" si="2"/>
        <v>0</v>
      </c>
      <c r="G55" s="148"/>
      <c r="H55" s="188"/>
    </row>
    <row r="56" spans="1:8" s="138" customFormat="1" ht="12.75">
      <c r="A56" s="217" t="s">
        <v>369</v>
      </c>
      <c r="B56" s="232" t="s">
        <v>361</v>
      </c>
      <c r="C56" s="126" t="s">
        <v>209</v>
      </c>
      <c r="D56" s="183">
        <f>(32+70+47)*0.13</f>
        <v>19.37</v>
      </c>
      <c r="E56" s="172"/>
      <c r="F56" s="185">
        <f t="shared" si="2"/>
        <v>0</v>
      </c>
      <c r="G56" s="148"/>
      <c r="H56" s="188"/>
    </row>
    <row r="57" spans="1:8" s="138" customFormat="1" ht="12.75">
      <c r="A57" s="217" t="s">
        <v>372</v>
      </c>
      <c r="B57" s="232" t="s">
        <v>360</v>
      </c>
      <c r="C57" s="126" t="s">
        <v>209</v>
      </c>
      <c r="D57" s="183">
        <f>(37+52+30)*0.2</f>
        <v>23.8</v>
      </c>
      <c r="E57" s="172"/>
      <c r="F57" s="185">
        <f t="shared" si="2"/>
        <v>0</v>
      </c>
      <c r="G57" s="148"/>
      <c r="H57" s="188"/>
    </row>
    <row r="58" spans="1:8" s="138" customFormat="1" ht="12.75">
      <c r="A58" s="217" t="s">
        <v>387</v>
      </c>
      <c r="B58" s="233" t="s">
        <v>390</v>
      </c>
      <c r="C58" s="5" t="s">
        <v>209</v>
      </c>
      <c r="D58" s="171">
        <f>(28.5*2.5*0.15)+(30.5*0.15+30.5*0.1)</f>
        <v>18.3125</v>
      </c>
      <c r="E58" s="172"/>
      <c r="F58" s="185">
        <f t="shared" si="2"/>
        <v>0</v>
      </c>
      <c r="G58" s="148"/>
      <c r="H58" s="188"/>
    </row>
    <row r="59" spans="1:8" s="138" customFormat="1" ht="12.75">
      <c r="A59" s="217" t="s">
        <v>389</v>
      </c>
      <c r="B59" s="233" t="s">
        <v>395</v>
      </c>
      <c r="C59" s="5" t="s">
        <v>209</v>
      </c>
      <c r="D59" s="171">
        <f>+(3.6*1.2*0.15)+0.8*0.15</f>
        <v>0.768</v>
      </c>
      <c r="E59" s="172"/>
      <c r="F59" s="185">
        <f t="shared" si="2"/>
        <v>0</v>
      </c>
      <c r="G59" s="148"/>
      <c r="H59" s="188"/>
    </row>
    <row r="60" spans="1:8" s="138" customFormat="1" ht="12.75">
      <c r="A60" s="217" t="s">
        <v>392</v>
      </c>
      <c r="B60" s="233" t="s">
        <v>393</v>
      </c>
      <c r="C60" s="5" t="s">
        <v>209</v>
      </c>
      <c r="D60" s="171">
        <f>2.8*0.1</f>
        <v>0.27999999999999997</v>
      </c>
      <c r="E60" s="172"/>
      <c r="F60" s="185">
        <f t="shared" si="2"/>
        <v>0</v>
      </c>
      <c r="G60" s="148"/>
      <c r="H60" s="188"/>
    </row>
    <row r="61" spans="1:8" s="138" customFormat="1" ht="12.75">
      <c r="A61" s="217" t="s">
        <v>394</v>
      </c>
      <c r="B61" s="233" t="s">
        <v>386</v>
      </c>
      <c r="C61" s="5" t="s">
        <v>209</v>
      </c>
      <c r="D61" s="171">
        <f>14.7*0.15</f>
        <v>2.2049999999999996</v>
      </c>
      <c r="E61" s="172"/>
      <c r="F61" s="185">
        <f t="shared" si="2"/>
        <v>0</v>
      </c>
      <c r="G61" s="148"/>
      <c r="H61" s="188"/>
    </row>
    <row r="62" spans="1:8" s="138" customFormat="1" ht="12.75">
      <c r="A62" s="217" t="s">
        <v>412</v>
      </c>
      <c r="B62" s="233" t="s">
        <v>385</v>
      </c>
      <c r="C62" s="5" t="s">
        <v>209</v>
      </c>
      <c r="D62" s="171">
        <f>14.7*0.17</f>
        <v>2.499</v>
      </c>
      <c r="E62" s="172"/>
      <c r="F62" s="185">
        <f t="shared" si="2"/>
        <v>0</v>
      </c>
      <c r="G62" s="148"/>
      <c r="H62" s="188"/>
    </row>
    <row r="63" spans="1:8" s="138" customFormat="1" ht="12.75">
      <c r="A63" s="216"/>
      <c r="B63" s="232"/>
      <c r="C63" s="126"/>
      <c r="D63" s="183"/>
      <c r="E63" s="193"/>
      <c r="F63" s="176"/>
      <c r="G63" s="148"/>
      <c r="H63" s="188"/>
    </row>
    <row r="64" spans="1:8" s="138" customFormat="1" ht="12.75">
      <c r="A64" s="218" t="s">
        <v>55</v>
      </c>
      <c r="B64" s="234" t="s">
        <v>185</v>
      </c>
      <c r="C64" s="8"/>
      <c r="D64" s="62"/>
      <c r="E64" s="35"/>
      <c r="F64" s="36"/>
      <c r="G64" s="150">
        <f>SUM(F65:F73)</f>
        <v>0</v>
      </c>
      <c r="H64" s="209">
        <v>0</v>
      </c>
    </row>
    <row r="65" spans="1:8" s="2" customFormat="1" ht="12.75">
      <c r="A65" s="217" t="s">
        <v>56</v>
      </c>
      <c r="B65" s="233" t="s">
        <v>462</v>
      </c>
      <c r="C65" s="5" t="s">
        <v>208</v>
      </c>
      <c r="D65" s="171">
        <f>111+(41*2)+86</f>
        <v>279</v>
      </c>
      <c r="E65" s="172"/>
      <c r="F65" s="185">
        <f aca="true" t="shared" si="3" ref="F65:F73">+D65*E65</f>
        <v>0</v>
      </c>
      <c r="G65" s="148"/>
      <c r="H65" s="188"/>
    </row>
    <row r="66" spans="1:8" s="2" customFormat="1" ht="12.75">
      <c r="A66" s="217" t="s">
        <v>57</v>
      </c>
      <c r="B66" s="232" t="s">
        <v>404</v>
      </c>
      <c r="C66" s="126" t="s">
        <v>208</v>
      </c>
      <c r="D66" s="183">
        <f>D93</f>
        <v>151.29</v>
      </c>
      <c r="E66" s="172"/>
      <c r="F66" s="185">
        <f t="shared" si="3"/>
        <v>0</v>
      </c>
      <c r="G66" s="148"/>
      <c r="H66" s="188"/>
    </row>
    <row r="67" spans="1:8" s="2" customFormat="1" ht="12.75">
      <c r="A67" s="217" t="s">
        <v>254</v>
      </c>
      <c r="B67" s="232" t="s">
        <v>363</v>
      </c>
      <c r="C67" s="126" t="s">
        <v>208</v>
      </c>
      <c r="D67" s="183">
        <f>(102*0.6)+D101</f>
        <v>266.88</v>
      </c>
      <c r="E67" s="172"/>
      <c r="F67" s="185">
        <f t="shared" si="3"/>
        <v>0</v>
      </c>
      <c r="G67" s="148"/>
      <c r="H67" s="188"/>
    </row>
    <row r="68" spans="1:8" s="2" customFormat="1" ht="12.75">
      <c r="A68" s="217" t="s">
        <v>414</v>
      </c>
      <c r="B68" s="232" t="s">
        <v>405</v>
      </c>
      <c r="C68" s="126" t="s">
        <v>208</v>
      </c>
      <c r="D68" s="183">
        <f>D65</f>
        <v>279</v>
      </c>
      <c r="E68" s="172"/>
      <c r="F68" s="185">
        <f t="shared" si="3"/>
        <v>0</v>
      </c>
      <c r="G68" s="148"/>
      <c r="H68" s="188"/>
    </row>
    <row r="69" spans="1:8" s="2" customFormat="1" ht="12.75">
      <c r="A69" s="217" t="s">
        <v>415</v>
      </c>
      <c r="B69" s="232" t="s">
        <v>362</v>
      </c>
      <c r="C69" s="126" t="s">
        <v>208</v>
      </c>
      <c r="D69" s="183">
        <f>74*2*0.5</f>
        <v>74</v>
      </c>
      <c r="E69" s="172"/>
      <c r="F69" s="185">
        <f t="shared" si="3"/>
        <v>0</v>
      </c>
      <c r="G69" s="148"/>
      <c r="H69" s="188"/>
    </row>
    <row r="70" spans="1:8" s="138" customFormat="1" ht="12.75">
      <c r="A70" s="217" t="s">
        <v>416</v>
      </c>
      <c r="B70" s="232" t="s">
        <v>402</v>
      </c>
      <c r="C70" s="126" t="s">
        <v>208</v>
      </c>
      <c r="D70" s="183">
        <f>(37+52+30)</f>
        <v>119</v>
      </c>
      <c r="E70" s="172"/>
      <c r="F70" s="185">
        <f t="shared" si="3"/>
        <v>0</v>
      </c>
      <c r="G70" s="148"/>
      <c r="H70" s="188"/>
    </row>
    <row r="71" spans="1:8" s="138" customFormat="1" ht="25.5">
      <c r="A71" s="217" t="s">
        <v>417</v>
      </c>
      <c r="B71" s="232" t="s">
        <v>401</v>
      </c>
      <c r="C71" s="126" t="s">
        <v>208</v>
      </c>
      <c r="D71" s="183">
        <f>+D58/0.15</f>
        <v>122.08333333333334</v>
      </c>
      <c r="E71" s="172"/>
      <c r="F71" s="185">
        <f t="shared" si="3"/>
        <v>0</v>
      </c>
      <c r="G71" s="148"/>
      <c r="H71" s="188"/>
    </row>
    <row r="72" spans="1:8" s="138" customFormat="1" ht="12.75">
      <c r="A72" s="217" t="s">
        <v>418</v>
      </c>
      <c r="B72" s="232" t="s">
        <v>367</v>
      </c>
      <c r="C72" s="126" t="s">
        <v>208</v>
      </c>
      <c r="D72" s="183">
        <f>(32+70+47)</f>
        <v>149</v>
      </c>
      <c r="E72" s="172"/>
      <c r="F72" s="185">
        <f t="shared" si="3"/>
        <v>0</v>
      </c>
      <c r="G72" s="148"/>
      <c r="H72" s="188"/>
    </row>
    <row r="73" spans="1:8" s="138" customFormat="1" ht="12.75">
      <c r="A73" s="217" t="s">
        <v>431</v>
      </c>
      <c r="B73" s="232" t="s">
        <v>342</v>
      </c>
      <c r="C73" s="126" t="s">
        <v>133</v>
      </c>
      <c r="D73" s="183">
        <v>1</v>
      </c>
      <c r="E73" s="172"/>
      <c r="F73" s="185">
        <f t="shared" si="3"/>
        <v>0</v>
      </c>
      <c r="G73" s="148"/>
      <c r="H73" s="188"/>
    </row>
    <row r="74" spans="1:8" s="138" customFormat="1" ht="12.75">
      <c r="A74" s="217"/>
      <c r="B74" s="232"/>
      <c r="C74" s="126"/>
      <c r="D74" s="183"/>
      <c r="E74" s="193"/>
      <c r="F74" s="176"/>
      <c r="G74" s="148"/>
      <c r="H74" s="188"/>
    </row>
    <row r="75" spans="1:8" s="138" customFormat="1" ht="12.75">
      <c r="A75" s="219" t="s">
        <v>58</v>
      </c>
      <c r="B75" s="234" t="s">
        <v>191</v>
      </c>
      <c r="C75" s="8"/>
      <c r="D75" s="62"/>
      <c r="E75" s="35"/>
      <c r="F75" s="36"/>
      <c r="G75" s="150">
        <f>SUM(F76:F79)</f>
        <v>0</v>
      </c>
      <c r="H75" s="209">
        <v>0</v>
      </c>
    </row>
    <row r="76" spans="1:8" s="138" customFormat="1" ht="12.75">
      <c r="A76" s="217" t="s">
        <v>59</v>
      </c>
      <c r="B76" s="232" t="s">
        <v>397</v>
      </c>
      <c r="C76" s="126" t="s">
        <v>209</v>
      </c>
      <c r="D76" s="183">
        <f>(37+52+30)*0.15</f>
        <v>17.849999999999998</v>
      </c>
      <c r="E76" s="172"/>
      <c r="F76" s="185">
        <f>+D76*E76</f>
        <v>0</v>
      </c>
      <c r="G76" s="148"/>
      <c r="H76" s="188"/>
    </row>
    <row r="77" spans="1:8" s="138" customFormat="1" ht="12.75">
      <c r="A77" s="217" t="s">
        <v>60</v>
      </c>
      <c r="B77" s="232" t="s">
        <v>396</v>
      </c>
      <c r="C77" s="126" t="s">
        <v>209</v>
      </c>
      <c r="D77" s="183">
        <f>(32+70+47)*0.07</f>
        <v>10.430000000000001</v>
      </c>
      <c r="E77" s="172"/>
      <c r="F77" s="185">
        <f>+D77*E77</f>
        <v>0</v>
      </c>
      <c r="G77" s="148"/>
      <c r="H77" s="188"/>
    </row>
    <row r="78" spans="1:8" s="138" customFormat="1" ht="12.75">
      <c r="A78" s="217" t="s">
        <v>186</v>
      </c>
      <c r="B78" s="232" t="s">
        <v>400</v>
      </c>
      <c r="C78" s="126" t="s">
        <v>209</v>
      </c>
      <c r="D78" s="183">
        <f>(D90+D94)*0.15</f>
        <v>79.8</v>
      </c>
      <c r="E78" s="172"/>
      <c r="F78" s="185">
        <f>+D78*E78</f>
        <v>0</v>
      </c>
      <c r="G78" s="148"/>
      <c r="H78" s="188"/>
    </row>
    <row r="79" spans="1:8" s="138" customFormat="1" ht="12.75">
      <c r="A79" s="217" t="s">
        <v>255</v>
      </c>
      <c r="B79" s="232" t="s">
        <v>19</v>
      </c>
      <c r="C79" s="126" t="s">
        <v>208</v>
      </c>
      <c r="D79" s="183">
        <f>(37+52+30)+(32+70+47)</f>
        <v>268</v>
      </c>
      <c r="E79" s="172"/>
      <c r="F79" s="185">
        <f>+D79*E79</f>
        <v>0</v>
      </c>
      <c r="G79" s="148"/>
      <c r="H79" s="188"/>
    </row>
    <row r="80" spans="1:8" s="2" customFormat="1" ht="12.75">
      <c r="A80" s="217"/>
      <c r="B80" s="233"/>
      <c r="C80" s="5"/>
      <c r="D80" s="171"/>
      <c r="E80" s="172"/>
      <c r="F80" s="176"/>
      <c r="G80" s="148"/>
      <c r="H80" s="188"/>
    </row>
    <row r="81" spans="1:8" s="2" customFormat="1" ht="12.75">
      <c r="A81" s="218" t="s">
        <v>61</v>
      </c>
      <c r="B81" s="234" t="s">
        <v>220</v>
      </c>
      <c r="C81" s="8"/>
      <c r="D81" s="62"/>
      <c r="E81" s="35"/>
      <c r="F81" s="36"/>
      <c r="G81" s="150">
        <f>SUM(F82:F87)</f>
        <v>0</v>
      </c>
      <c r="H81" s="209">
        <v>0</v>
      </c>
    </row>
    <row r="82" spans="1:8" s="2" customFormat="1" ht="12.75">
      <c r="A82" s="217" t="s">
        <v>148</v>
      </c>
      <c r="B82" s="232" t="s">
        <v>364</v>
      </c>
      <c r="C82" s="126" t="s">
        <v>208</v>
      </c>
      <c r="D82" s="183">
        <f>12.5*2.6</f>
        <v>32.5</v>
      </c>
      <c r="E82" s="172"/>
      <c r="F82" s="185">
        <f aca="true" t="shared" si="4" ref="F82:F87">+D82*E82</f>
        <v>0</v>
      </c>
      <c r="G82" s="148"/>
      <c r="H82" s="188"/>
    </row>
    <row r="83" spans="1:8" s="2" customFormat="1" ht="12.75">
      <c r="A83" s="217" t="s">
        <v>149</v>
      </c>
      <c r="B83" s="232" t="s">
        <v>403</v>
      </c>
      <c r="C83" s="126" t="s">
        <v>208</v>
      </c>
      <c r="D83" s="183">
        <f>3*2.4</f>
        <v>7.199999999999999</v>
      </c>
      <c r="E83" s="172"/>
      <c r="F83" s="185">
        <f t="shared" si="4"/>
        <v>0</v>
      </c>
      <c r="G83" s="148"/>
      <c r="H83" s="188"/>
    </row>
    <row r="84" spans="1:8" s="2" customFormat="1" ht="25.5">
      <c r="A84" s="217" t="s">
        <v>150</v>
      </c>
      <c r="B84" s="232" t="s">
        <v>466</v>
      </c>
      <c r="C84" s="126" t="s">
        <v>208</v>
      </c>
      <c r="D84" s="183">
        <f>71*2.75</f>
        <v>195.25</v>
      </c>
      <c r="E84" s="172"/>
      <c r="F84" s="185">
        <f t="shared" si="4"/>
        <v>0</v>
      </c>
      <c r="G84" s="148"/>
      <c r="H84" s="188"/>
    </row>
    <row r="85" spans="1:8" s="2" customFormat="1" ht="12.75">
      <c r="A85" s="217" t="s">
        <v>151</v>
      </c>
      <c r="B85" s="232" t="s">
        <v>463</v>
      </c>
      <c r="C85" s="126" t="s">
        <v>208</v>
      </c>
      <c r="D85" s="183">
        <f>D84</f>
        <v>195.25</v>
      </c>
      <c r="E85" s="172"/>
      <c r="F85" s="185">
        <f t="shared" si="4"/>
        <v>0</v>
      </c>
      <c r="G85" s="148"/>
      <c r="H85" s="188"/>
    </row>
    <row r="86" spans="1:8" s="2" customFormat="1" ht="12.75">
      <c r="A86" s="217" t="s">
        <v>152</v>
      </c>
      <c r="B86" s="232" t="s">
        <v>464</v>
      </c>
      <c r="C86" s="126" t="s">
        <v>208</v>
      </c>
      <c r="D86" s="183">
        <f>D84</f>
        <v>195.25</v>
      </c>
      <c r="E86" s="172"/>
      <c r="F86" s="185">
        <f t="shared" si="4"/>
        <v>0</v>
      </c>
      <c r="G86" s="148"/>
      <c r="H86" s="188"/>
    </row>
    <row r="87" spans="1:8" s="2" customFormat="1" ht="25.5">
      <c r="A87" s="217" t="s">
        <v>153</v>
      </c>
      <c r="B87" s="232" t="s">
        <v>465</v>
      </c>
      <c r="C87" s="126" t="s">
        <v>208</v>
      </c>
      <c r="D87" s="183">
        <f>52+18+36</f>
        <v>106</v>
      </c>
      <c r="E87" s="172"/>
      <c r="F87" s="185">
        <f t="shared" si="4"/>
        <v>0</v>
      </c>
      <c r="G87" s="148"/>
      <c r="H87" s="188"/>
    </row>
    <row r="88" spans="1:8" s="2" customFormat="1" ht="12.75">
      <c r="A88" s="216"/>
      <c r="B88" s="232"/>
      <c r="C88" s="126"/>
      <c r="D88" s="183"/>
      <c r="E88" s="193"/>
      <c r="F88" s="176"/>
      <c r="G88" s="148"/>
      <c r="H88" s="188"/>
    </row>
    <row r="89" spans="1:8" s="138" customFormat="1" ht="12.75">
      <c r="A89" s="218" t="s">
        <v>62</v>
      </c>
      <c r="B89" s="234" t="s">
        <v>337</v>
      </c>
      <c r="C89" s="8"/>
      <c r="D89" s="62"/>
      <c r="E89" s="35"/>
      <c r="F89" s="36"/>
      <c r="G89" s="150">
        <f>SUM(F90:F95)</f>
        <v>0</v>
      </c>
      <c r="H89" s="209">
        <v>0</v>
      </c>
    </row>
    <row r="90" spans="1:8" s="2" customFormat="1" ht="12.75">
      <c r="A90" s="216" t="s">
        <v>63</v>
      </c>
      <c r="B90" s="233" t="s">
        <v>435</v>
      </c>
      <c r="C90" s="5" t="s">
        <v>208</v>
      </c>
      <c r="D90" s="171">
        <v>68</v>
      </c>
      <c r="E90" s="172"/>
      <c r="F90" s="185">
        <f aca="true" t="shared" si="5" ref="F90:F95">+D90*E90</f>
        <v>0</v>
      </c>
      <c r="G90" s="148"/>
      <c r="H90" s="188"/>
    </row>
    <row r="91" spans="1:8" s="2" customFormat="1" ht="12.75">
      <c r="A91" s="216" t="s">
        <v>64</v>
      </c>
      <c r="B91" s="233" t="s">
        <v>436</v>
      </c>
      <c r="C91" s="5" t="s">
        <v>208</v>
      </c>
      <c r="D91" s="171">
        <f>(22+9+20)*0.4</f>
        <v>20.400000000000002</v>
      </c>
      <c r="E91" s="172"/>
      <c r="F91" s="185">
        <f t="shared" si="5"/>
        <v>0</v>
      </c>
      <c r="G91" s="148"/>
      <c r="H91" s="188"/>
    </row>
    <row r="92" spans="1:8" s="2" customFormat="1" ht="25.5">
      <c r="A92" s="216" t="s">
        <v>65</v>
      </c>
      <c r="B92" s="233" t="s">
        <v>437</v>
      </c>
      <c r="C92" s="5" t="s">
        <v>208</v>
      </c>
      <c r="D92" s="171">
        <f>(102*0.6)+126+(87*0.1)</f>
        <v>195.89999999999998</v>
      </c>
      <c r="E92" s="172"/>
      <c r="F92" s="185">
        <f t="shared" si="5"/>
        <v>0</v>
      </c>
      <c r="G92" s="148"/>
      <c r="H92" s="188"/>
    </row>
    <row r="93" spans="1:8" s="2" customFormat="1" ht="25.5">
      <c r="A93" s="216" t="s">
        <v>66</v>
      </c>
      <c r="B93" s="233" t="s">
        <v>438</v>
      </c>
      <c r="C93" s="5" t="s">
        <v>208</v>
      </c>
      <c r="D93" s="171">
        <f>(7.8*2.05*4)+(2.2*2.05*8)+(25*2.05)</f>
        <v>151.29</v>
      </c>
      <c r="E93" s="172"/>
      <c r="F93" s="185">
        <f t="shared" si="5"/>
        <v>0</v>
      </c>
      <c r="G93" s="148"/>
      <c r="H93" s="188"/>
    </row>
    <row r="94" spans="1:8" s="2" customFormat="1" ht="12.75">
      <c r="A94" s="216" t="s">
        <v>67</v>
      </c>
      <c r="B94" s="233" t="s">
        <v>439</v>
      </c>
      <c r="C94" s="5" t="s">
        <v>208</v>
      </c>
      <c r="D94" s="171">
        <f>159+305</f>
        <v>464</v>
      </c>
      <c r="E94" s="172"/>
      <c r="F94" s="185">
        <f t="shared" si="5"/>
        <v>0</v>
      </c>
      <c r="G94" s="148"/>
      <c r="H94" s="188"/>
    </row>
    <row r="95" spans="1:8" s="2" customFormat="1" ht="12.75">
      <c r="A95" s="216" t="s">
        <v>68</v>
      </c>
      <c r="B95" s="233" t="s">
        <v>406</v>
      </c>
      <c r="C95" s="5" t="s">
        <v>208</v>
      </c>
      <c r="D95" s="171">
        <v>33</v>
      </c>
      <c r="E95" s="172"/>
      <c r="F95" s="185">
        <f t="shared" si="5"/>
        <v>0</v>
      </c>
      <c r="G95" s="148"/>
      <c r="H95" s="188"/>
    </row>
    <row r="96" spans="1:8" s="2" customFormat="1" ht="12.75">
      <c r="A96" s="221"/>
      <c r="B96" s="233"/>
      <c r="C96" s="5"/>
      <c r="D96" s="171"/>
      <c r="E96" s="193"/>
      <c r="F96" s="176"/>
      <c r="G96" s="148"/>
      <c r="H96" s="188"/>
    </row>
    <row r="97" spans="1:8" s="2" customFormat="1" ht="12.75">
      <c r="A97" s="218" t="s">
        <v>69</v>
      </c>
      <c r="B97" s="234" t="s">
        <v>8</v>
      </c>
      <c r="C97" s="8"/>
      <c r="D97" s="62"/>
      <c r="E97" s="35"/>
      <c r="F97" s="36"/>
      <c r="G97" s="181">
        <f>SUM(F98:F103)</f>
        <v>0</v>
      </c>
      <c r="H97" s="209">
        <v>0</v>
      </c>
    </row>
    <row r="98" spans="1:8" s="2" customFormat="1" ht="25.5">
      <c r="A98" s="217" t="s">
        <v>110</v>
      </c>
      <c r="B98" s="233" t="s">
        <v>467</v>
      </c>
      <c r="C98" s="5" t="s">
        <v>208</v>
      </c>
      <c r="D98" s="171">
        <f>D84+(D82*2)+(D83*0.1)</f>
        <v>260.97</v>
      </c>
      <c r="E98" s="172"/>
      <c r="F98" s="185">
        <f aca="true" t="shared" si="6" ref="F98:F103">+D98*E98</f>
        <v>0</v>
      </c>
      <c r="G98" s="166"/>
      <c r="H98" s="188"/>
    </row>
    <row r="99" spans="1:8" s="2" customFormat="1" ht="12.75">
      <c r="A99" s="217" t="s">
        <v>111</v>
      </c>
      <c r="B99" s="233" t="s">
        <v>468</v>
      </c>
      <c r="C99" s="5" t="s">
        <v>208</v>
      </c>
      <c r="D99" s="171">
        <f>D87</f>
        <v>106</v>
      </c>
      <c r="E99" s="172"/>
      <c r="F99" s="185">
        <f t="shared" si="6"/>
        <v>0</v>
      </c>
      <c r="G99" s="166"/>
      <c r="H99" s="188"/>
    </row>
    <row r="100" spans="1:8" s="2" customFormat="1" ht="12.75">
      <c r="A100" s="217" t="s">
        <v>112</v>
      </c>
      <c r="B100" s="232" t="s">
        <v>469</v>
      </c>
      <c r="C100" s="126" t="s">
        <v>208</v>
      </c>
      <c r="D100" s="183">
        <v>152</v>
      </c>
      <c r="E100" s="172"/>
      <c r="F100" s="185">
        <f t="shared" si="6"/>
        <v>0</v>
      </c>
      <c r="G100" s="166"/>
      <c r="H100" s="188"/>
    </row>
    <row r="101" spans="1:8" s="2" customFormat="1" ht="25.5">
      <c r="A101" s="217" t="s">
        <v>343</v>
      </c>
      <c r="B101" s="232" t="s">
        <v>470</v>
      </c>
      <c r="C101" s="126" t="s">
        <v>208</v>
      </c>
      <c r="D101" s="183">
        <f>24.13+7.22+9.1+12.1+8.63+6.82+14.45+5.42+5.42+15.45+8.47+8.47+((5+15)*4)</f>
        <v>205.68</v>
      </c>
      <c r="E101" s="172"/>
      <c r="F101" s="185">
        <f t="shared" si="6"/>
        <v>0</v>
      </c>
      <c r="G101" s="166"/>
      <c r="H101" s="188"/>
    </row>
    <row r="102" spans="1:8" s="2" customFormat="1" ht="12.75">
      <c r="A102" s="217" t="s">
        <v>344</v>
      </c>
      <c r="B102" s="233" t="s">
        <v>471</v>
      </c>
      <c r="C102" s="5" t="s">
        <v>208</v>
      </c>
      <c r="D102" s="171">
        <v>20</v>
      </c>
      <c r="E102" s="172"/>
      <c r="F102" s="185">
        <f t="shared" si="6"/>
        <v>0</v>
      </c>
      <c r="G102" s="166"/>
      <c r="H102" s="188"/>
    </row>
    <row r="103" spans="1:8" s="2" customFormat="1" ht="12.75">
      <c r="A103" s="217" t="s">
        <v>413</v>
      </c>
      <c r="B103" s="232" t="s">
        <v>434</v>
      </c>
      <c r="C103" s="126" t="s">
        <v>133</v>
      </c>
      <c r="D103" s="183">
        <v>1</v>
      </c>
      <c r="E103" s="172"/>
      <c r="F103" s="185">
        <f t="shared" si="6"/>
        <v>0</v>
      </c>
      <c r="G103" s="166"/>
      <c r="H103" s="188"/>
    </row>
    <row r="104" spans="1:8" s="2" customFormat="1" ht="12.75">
      <c r="A104" s="220"/>
      <c r="B104" s="232"/>
      <c r="C104" s="5"/>
      <c r="D104" s="171"/>
      <c r="E104" s="172"/>
      <c r="F104" s="173"/>
      <c r="G104" s="166"/>
      <c r="H104" s="188"/>
    </row>
    <row r="105" spans="1:8" s="2" customFormat="1" ht="12.75">
      <c r="A105" s="218" t="s">
        <v>70</v>
      </c>
      <c r="B105" s="234" t="s">
        <v>217</v>
      </c>
      <c r="C105" s="8"/>
      <c r="D105" s="62"/>
      <c r="E105" s="35"/>
      <c r="F105" s="36"/>
      <c r="G105" s="181">
        <f>SUM(F106)</f>
        <v>0</v>
      </c>
      <c r="H105" s="209">
        <v>0</v>
      </c>
    </row>
    <row r="106" spans="1:8" s="138" customFormat="1" ht="12.75">
      <c r="A106" s="216" t="s">
        <v>113</v>
      </c>
      <c r="B106" s="233" t="s">
        <v>478</v>
      </c>
      <c r="C106" s="126" t="s">
        <v>133</v>
      </c>
      <c r="D106" s="183">
        <v>1</v>
      </c>
      <c r="E106" s="172"/>
      <c r="F106" s="185">
        <f>+D106*E106</f>
        <v>0</v>
      </c>
      <c r="G106" s="166"/>
      <c r="H106" s="188"/>
    </row>
    <row r="107" spans="1:8" s="138" customFormat="1" ht="12.75">
      <c r="A107" s="221"/>
      <c r="B107" s="233"/>
      <c r="C107" s="5"/>
      <c r="D107" s="171"/>
      <c r="E107" s="172"/>
      <c r="F107" s="173"/>
      <c r="G107" s="166"/>
      <c r="H107" s="188"/>
    </row>
    <row r="108" spans="1:8" s="138" customFormat="1" ht="12.75">
      <c r="A108" s="218" t="s">
        <v>71</v>
      </c>
      <c r="B108" s="234" t="s">
        <v>32</v>
      </c>
      <c r="C108" s="8"/>
      <c r="D108" s="62"/>
      <c r="E108" s="35"/>
      <c r="F108" s="36"/>
      <c r="G108" s="181">
        <f>SUM(F109:F109)</f>
        <v>0</v>
      </c>
      <c r="H108" s="209">
        <v>0</v>
      </c>
    </row>
    <row r="109" spans="1:8" s="138" customFormat="1" ht="12.75">
      <c r="A109" s="216" t="s">
        <v>116</v>
      </c>
      <c r="B109" s="233" t="s">
        <v>479</v>
      </c>
      <c r="C109" s="5" t="s">
        <v>133</v>
      </c>
      <c r="D109" s="171">
        <v>1</v>
      </c>
      <c r="E109" s="172"/>
      <c r="F109" s="185">
        <f>+D109*E109</f>
        <v>0</v>
      </c>
      <c r="G109" s="166"/>
      <c r="H109" s="188"/>
    </row>
    <row r="110" spans="1:8" s="138" customFormat="1" ht="12.75">
      <c r="A110" s="221"/>
      <c r="B110" s="233"/>
      <c r="C110" s="5"/>
      <c r="D110" s="171"/>
      <c r="E110" s="172"/>
      <c r="F110" s="173"/>
      <c r="G110" s="166"/>
      <c r="H110" s="188"/>
    </row>
    <row r="111" spans="1:8" s="138" customFormat="1" ht="12.75">
      <c r="A111" s="218" t="s">
        <v>72</v>
      </c>
      <c r="B111" s="234" t="s">
        <v>192</v>
      </c>
      <c r="C111" s="8"/>
      <c r="D111" s="62"/>
      <c r="E111" s="35"/>
      <c r="F111" s="36"/>
      <c r="G111" s="181">
        <f>SUM(F112)</f>
        <v>0</v>
      </c>
      <c r="H111" s="209">
        <v>0</v>
      </c>
    </row>
    <row r="112" spans="1:8" s="138" customFormat="1" ht="12.75">
      <c r="A112" s="216" t="s">
        <v>127</v>
      </c>
      <c r="B112" s="233" t="s">
        <v>480</v>
      </c>
      <c r="C112" s="5" t="s">
        <v>133</v>
      </c>
      <c r="D112" s="171">
        <v>1</v>
      </c>
      <c r="E112" s="172"/>
      <c r="F112" s="185">
        <f>+D112*E112</f>
        <v>0</v>
      </c>
      <c r="G112" s="166"/>
      <c r="H112" s="188"/>
    </row>
    <row r="113" spans="1:8" s="2" customFormat="1" ht="12.75">
      <c r="A113" s="216"/>
      <c r="B113" s="232"/>
      <c r="C113" s="5"/>
      <c r="D113" s="171"/>
      <c r="E113" s="172"/>
      <c r="F113" s="176"/>
      <c r="G113" s="166"/>
      <c r="H113" s="188"/>
    </row>
    <row r="114" spans="1:8" s="2" customFormat="1" ht="12.75">
      <c r="A114" s="218" t="s">
        <v>193</v>
      </c>
      <c r="B114" s="234" t="s">
        <v>218</v>
      </c>
      <c r="C114" s="8"/>
      <c r="D114" s="62"/>
      <c r="E114" s="35"/>
      <c r="F114" s="36"/>
      <c r="G114" s="181">
        <f>SUM(F115)</f>
        <v>0</v>
      </c>
      <c r="H114" s="209">
        <v>0</v>
      </c>
    </row>
    <row r="115" spans="1:8" s="2" customFormat="1" ht="12.75">
      <c r="A115" s="216" t="s">
        <v>200</v>
      </c>
      <c r="B115" s="232" t="s">
        <v>433</v>
      </c>
      <c r="C115" s="5" t="s">
        <v>207</v>
      </c>
      <c r="D115" s="171">
        <v>8</v>
      </c>
      <c r="E115" s="172"/>
      <c r="F115" s="185">
        <f>+D115*E115</f>
        <v>0</v>
      </c>
      <c r="G115" s="166"/>
      <c r="H115" s="188"/>
    </row>
    <row r="116" spans="1:8" s="2" customFormat="1" ht="12.75">
      <c r="A116" s="221"/>
      <c r="B116" s="233"/>
      <c r="C116" s="5"/>
      <c r="D116" s="171"/>
      <c r="E116" s="172"/>
      <c r="F116" s="173"/>
      <c r="G116" s="148"/>
      <c r="H116" s="188"/>
    </row>
    <row r="117" spans="1:8" s="2" customFormat="1" ht="12.75">
      <c r="A117" s="219" t="s">
        <v>194</v>
      </c>
      <c r="B117" s="234" t="s">
        <v>78</v>
      </c>
      <c r="C117" s="8"/>
      <c r="D117" s="62"/>
      <c r="E117" s="35"/>
      <c r="F117" s="36"/>
      <c r="G117" s="150">
        <f>SUM(F118:F123)</f>
        <v>0</v>
      </c>
      <c r="H117" s="209">
        <v>0</v>
      </c>
    </row>
    <row r="118" spans="1:8" s="2" customFormat="1" ht="12.75">
      <c r="A118" s="216" t="s">
        <v>201</v>
      </c>
      <c r="B118" s="232" t="s">
        <v>440</v>
      </c>
      <c r="C118" s="126" t="s">
        <v>207</v>
      </c>
      <c r="D118" s="183">
        <v>15</v>
      </c>
      <c r="E118" s="172"/>
      <c r="F118" s="185">
        <f aca="true" t="shared" si="7" ref="F118:F123">+D118*E118</f>
        <v>0</v>
      </c>
      <c r="G118" s="148"/>
      <c r="H118" s="188"/>
    </row>
    <row r="119" spans="1:8" ht="25.5">
      <c r="A119" s="216" t="s">
        <v>419</v>
      </c>
      <c r="B119" s="232" t="s">
        <v>441</v>
      </c>
      <c r="C119" s="126" t="s">
        <v>207</v>
      </c>
      <c r="D119" s="183">
        <v>1</v>
      </c>
      <c r="E119" s="172"/>
      <c r="F119" s="185">
        <f t="shared" si="7"/>
        <v>0</v>
      </c>
      <c r="G119" s="148"/>
      <c r="H119" s="188"/>
    </row>
    <row r="120" spans="1:8" ht="12.75">
      <c r="A120" s="216" t="s">
        <v>420</v>
      </c>
      <c r="B120" s="232" t="s">
        <v>442</v>
      </c>
      <c r="C120" s="126" t="s">
        <v>207</v>
      </c>
      <c r="D120" s="183">
        <v>1</v>
      </c>
      <c r="E120" s="172"/>
      <c r="F120" s="185">
        <f t="shared" si="7"/>
        <v>0</v>
      </c>
      <c r="G120" s="148"/>
      <c r="H120" s="188"/>
    </row>
    <row r="121" spans="1:8" ht="12.75">
      <c r="A121" s="216" t="s">
        <v>421</v>
      </c>
      <c r="B121" s="232" t="s">
        <v>443</v>
      </c>
      <c r="C121" s="126" t="s">
        <v>207</v>
      </c>
      <c r="D121" s="183">
        <v>8</v>
      </c>
      <c r="E121" s="172"/>
      <c r="F121" s="185">
        <f t="shared" si="7"/>
        <v>0</v>
      </c>
      <c r="G121" s="148"/>
      <c r="H121" s="188"/>
    </row>
    <row r="122" spans="1:8" ht="12.75">
      <c r="A122" s="216" t="s">
        <v>422</v>
      </c>
      <c r="B122" s="232" t="s">
        <v>444</v>
      </c>
      <c r="C122" s="126" t="s">
        <v>207</v>
      </c>
      <c r="D122" s="183">
        <v>1</v>
      </c>
      <c r="E122" s="172"/>
      <c r="F122" s="185">
        <f t="shared" si="7"/>
        <v>0</v>
      </c>
      <c r="G122" s="148"/>
      <c r="H122" s="188"/>
    </row>
    <row r="123" spans="1:8" ht="12.75">
      <c r="A123" s="216" t="s">
        <v>423</v>
      </c>
      <c r="B123" s="232" t="s">
        <v>445</v>
      </c>
      <c r="C123" s="126" t="s">
        <v>207</v>
      </c>
      <c r="D123" s="183">
        <v>32</v>
      </c>
      <c r="E123" s="193"/>
      <c r="F123" s="185">
        <f t="shared" si="7"/>
        <v>0</v>
      </c>
      <c r="G123" s="148"/>
      <c r="H123" s="188"/>
    </row>
    <row r="124" spans="1:8" ht="12.75">
      <c r="A124" s="217"/>
      <c r="B124" s="233"/>
      <c r="C124" s="5"/>
      <c r="D124" s="171"/>
      <c r="E124" s="172"/>
      <c r="F124" s="173"/>
      <c r="G124" s="148"/>
      <c r="H124" s="188"/>
    </row>
    <row r="125" spans="1:8" ht="12.75">
      <c r="A125" s="218" t="s">
        <v>250</v>
      </c>
      <c r="B125" s="234" t="s">
        <v>216</v>
      </c>
      <c r="C125" s="8"/>
      <c r="D125" s="62"/>
      <c r="E125" s="35"/>
      <c r="F125" s="36"/>
      <c r="G125" s="150">
        <f>SUM(F126:F133)</f>
        <v>0</v>
      </c>
      <c r="H125" s="209">
        <v>0</v>
      </c>
    </row>
    <row r="126" spans="1:8" ht="25.5">
      <c r="A126" s="220" t="s">
        <v>251</v>
      </c>
      <c r="B126" s="233" t="s">
        <v>483</v>
      </c>
      <c r="C126" s="5" t="s">
        <v>208</v>
      </c>
      <c r="D126" s="171">
        <f>(95+92)*2.1</f>
        <v>392.7</v>
      </c>
      <c r="E126" s="172"/>
      <c r="F126" s="185">
        <f aca="true" t="shared" si="8" ref="F126:F133">+D126*E126</f>
        <v>0</v>
      </c>
      <c r="G126" s="166"/>
      <c r="H126" s="188"/>
    </row>
    <row r="127" spans="1:8" ht="25.5">
      <c r="A127" s="220" t="s">
        <v>330</v>
      </c>
      <c r="B127" s="233" t="s">
        <v>450</v>
      </c>
      <c r="C127" s="5" t="s">
        <v>207</v>
      </c>
      <c r="D127" s="171">
        <v>2</v>
      </c>
      <c r="E127" s="172"/>
      <c r="F127" s="185">
        <f t="shared" si="8"/>
        <v>0</v>
      </c>
      <c r="G127" s="166"/>
      <c r="H127" s="188"/>
    </row>
    <row r="128" spans="1:8" ht="12.75">
      <c r="A128" s="220" t="s">
        <v>331</v>
      </c>
      <c r="B128" s="233" t="s">
        <v>482</v>
      </c>
      <c r="C128" s="5" t="s">
        <v>206</v>
      </c>
      <c r="D128" s="171">
        <v>74</v>
      </c>
      <c r="E128" s="172"/>
      <c r="F128" s="185">
        <f t="shared" si="8"/>
        <v>0</v>
      </c>
      <c r="G128" s="166"/>
      <c r="H128" s="188"/>
    </row>
    <row r="129" spans="1:8" s="210" customFormat="1" ht="12.75">
      <c r="A129" s="220" t="s">
        <v>348</v>
      </c>
      <c r="B129" s="233" t="s">
        <v>451</v>
      </c>
      <c r="C129" s="5" t="s">
        <v>133</v>
      </c>
      <c r="D129" s="171">
        <v>1</v>
      </c>
      <c r="E129" s="193"/>
      <c r="F129" s="185">
        <f t="shared" si="8"/>
        <v>0</v>
      </c>
      <c r="G129" s="166"/>
      <c r="H129" s="188"/>
    </row>
    <row r="130" spans="1:8" s="210" customFormat="1" ht="12.75">
      <c r="A130" s="220" t="s">
        <v>349</v>
      </c>
      <c r="B130" s="233" t="s">
        <v>452</v>
      </c>
      <c r="C130" s="5" t="s">
        <v>207</v>
      </c>
      <c r="D130" s="171">
        <v>2</v>
      </c>
      <c r="E130" s="172"/>
      <c r="F130" s="185">
        <f t="shared" si="8"/>
        <v>0</v>
      </c>
      <c r="G130" s="166"/>
      <c r="H130" s="188"/>
    </row>
    <row r="131" spans="1:8" s="210" customFormat="1" ht="25.5">
      <c r="A131" s="220" t="s">
        <v>350</v>
      </c>
      <c r="B131" s="233" t="s">
        <v>485</v>
      </c>
      <c r="C131" s="5" t="s">
        <v>207</v>
      </c>
      <c r="D131" s="171">
        <v>32</v>
      </c>
      <c r="E131" s="193"/>
      <c r="F131" s="185">
        <f t="shared" si="8"/>
        <v>0</v>
      </c>
      <c r="G131" s="166"/>
      <c r="H131" s="188"/>
    </row>
    <row r="132" spans="1:8" s="210" customFormat="1" ht="12.75">
      <c r="A132" s="220" t="s">
        <v>424</v>
      </c>
      <c r="B132" s="233" t="s">
        <v>453</v>
      </c>
      <c r="C132" s="5" t="s">
        <v>207</v>
      </c>
      <c r="D132" s="171">
        <v>1</v>
      </c>
      <c r="E132" s="193"/>
      <c r="F132" s="185">
        <f t="shared" si="8"/>
        <v>0</v>
      </c>
      <c r="G132" s="166"/>
      <c r="H132" s="188"/>
    </row>
    <row r="133" spans="1:8" s="210" customFormat="1" ht="12.75">
      <c r="A133" s="220" t="s">
        <v>425</v>
      </c>
      <c r="B133" s="233" t="s">
        <v>454</v>
      </c>
      <c r="C133" s="5" t="s">
        <v>207</v>
      </c>
      <c r="D133" s="171">
        <v>1</v>
      </c>
      <c r="E133" s="193"/>
      <c r="F133" s="185">
        <f t="shared" si="8"/>
        <v>0</v>
      </c>
      <c r="G133" s="166"/>
      <c r="H133" s="188"/>
    </row>
    <row r="134" spans="1:8" s="210" customFormat="1" ht="12.75">
      <c r="A134" s="222"/>
      <c r="B134" s="232"/>
      <c r="C134" s="126"/>
      <c r="D134" s="172"/>
      <c r="E134" s="172"/>
      <c r="F134" s="173"/>
      <c r="G134" s="166"/>
      <c r="H134" s="188"/>
    </row>
    <row r="135" spans="1:8" ht="12.75">
      <c r="A135" s="218" t="s">
        <v>195</v>
      </c>
      <c r="B135" s="234" t="s">
        <v>338</v>
      </c>
      <c r="C135" s="8"/>
      <c r="D135" s="62"/>
      <c r="E135" s="35"/>
      <c r="F135" s="36"/>
      <c r="G135" s="150">
        <f>SUM(F136:F139)</f>
        <v>0</v>
      </c>
      <c r="H135" s="209">
        <v>0</v>
      </c>
    </row>
    <row r="136" spans="1:8" ht="12.75">
      <c r="A136" s="220" t="s">
        <v>202</v>
      </c>
      <c r="B136" s="232" t="s">
        <v>447</v>
      </c>
      <c r="C136" s="126" t="s">
        <v>208</v>
      </c>
      <c r="D136" s="183">
        <f>13*0.6</f>
        <v>7.8</v>
      </c>
      <c r="E136" s="172"/>
      <c r="F136" s="185">
        <f>+D136*E136</f>
        <v>0</v>
      </c>
      <c r="G136" s="166"/>
      <c r="H136" s="188"/>
    </row>
    <row r="137" spans="1:8" ht="12.75">
      <c r="A137" s="220" t="s">
        <v>203</v>
      </c>
      <c r="B137" s="232" t="s">
        <v>446</v>
      </c>
      <c r="C137" s="126" t="s">
        <v>208</v>
      </c>
      <c r="D137" s="183">
        <f>5.5*0.45</f>
        <v>2.475</v>
      </c>
      <c r="E137" s="172"/>
      <c r="F137" s="185">
        <f>+D137*E137</f>
        <v>0</v>
      </c>
      <c r="G137" s="166"/>
      <c r="H137" s="188"/>
    </row>
    <row r="138" spans="1:8" ht="12.75">
      <c r="A138" s="220" t="s">
        <v>214</v>
      </c>
      <c r="B138" s="232" t="s">
        <v>448</v>
      </c>
      <c r="C138" s="126" t="s">
        <v>207</v>
      </c>
      <c r="D138" s="183">
        <v>8</v>
      </c>
      <c r="E138" s="172"/>
      <c r="F138" s="185">
        <f>+D138*E138</f>
        <v>0</v>
      </c>
      <c r="G138" s="166"/>
      <c r="H138" s="188"/>
    </row>
    <row r="139" spans="1:8" ht="12.75">
      <c r="A139" s="220" t="s">
        <v>204</v>
      </c>
      <c r="B139" s="232" t="s">
        <v>449</v>
      </c>
      <c r="C139" s="126" t="s">
        <v>207</v>
      </c>
      <c r="D139" s="183">
        <v>1</v>
      </c>
      <c r="E139" s="172"/>
      <c r="F139" s="185">
        <f>+D139*E139</f>
        <v>0</v>
      </c>
      <c r="G139" s="166"/>
      <c r="H139" s="188"/>
    </row>
    <row r="140" spans="1:8" ht="12.75">
      <c r="A140" s="222"/>
      <c r="B140" s="232"/>
      <c r="C140" s="126"/>
      <c r="D140" s="172"/>
      <c r="E140" s="172"/>
      <c r="F140" s="173"/>
      <c r="G140" s="166"/>
      <c r="H140" s="188"/>
    </row>
    <row r="141" spans="1:8" s="210" customFormat="1" ht="12.75">
      <c r="A141" s="218" t="s">
        <v>222</v>
      </c>
      <c r="B141" s="234" t="s">
        <v>213</v>
      </c>
      <c r="C141" s="8"/>
      <c r="D141" s="62"/>
      <c r="E141" s="35"/>
      <c r="F141" s="36"/>
      <c r="G141" s="181">
        <f>SUM(F142:F148)</f>
        <v>0</v>
      </c>
      <c r="H141" s="209">
        <v>0</v>
      </c>
    </row>
    <row r="142" spans="1:8" ht="12.75">
      <c r="A142" s="216" t="s">
        <v>247</v>
      </c>
      <c r="B142" s="232" t="s">
        <v>455</v>
      </c>
      <c r="C142" s="126" t="s">
        <v>207</v>
      </c>
      <c r="D142" s="183">
        <v>9</v>
      </c>
      <c r="E142" s="172"/>
      <c r="F142" s="185">
        <f aca="true" t="shared" si="9" ref="F142:F148">+D142*E142</f>
        <v>0</v>
      </c>
      <c r="G142" s="196"/>
      <c r="H142" s="188"/>
    </row>
    <row r="143" spans="1:8" ht="12.75">
      <c r="A143" s="216" t="s">
        <v>205</v>
      </c>
      <c r="B143" s="232" t="s">
        <v>456</v>
      </c>
      <c r="C143" s="126" t="s">
        <v>207</v>
      </c>
      <c r="D143" s="183">
        <v>9</v>
      </c>
      <c r="E143" s="172"/>
      <c r="F143" s="185">
        <f t="shared" si="9"/>
        <v>0</v>
      </c>
      <c r="G143" s="196"/>
      <c r="H143" s="188"/>
    </row>
    <row r="144" spans="1:8" s="210" customFormat="1" ht="12.75">
      <c r="A144" s="216" t="s">
        <v>248</v>
      </c>
      <c r="B144" s="232" t="s">
        <v>457</v>
      </c>
      <c r="C144" s="126" t="s">
        <v>207</v>
      </c>
      <c r="D144" s="183">
        <v>8</v>
      </c>
      <c r="E144" s="172"/>
      <c r="F144" s="185">
        <f t="shared" si="9"/>
        <v>0</v>
      </c>
      <c r="G144" s="196"/>
      <c r="H144" s="188"/>
    </row>
    <row r="145" spans="1:8" ht="12.75">
      <c r="A145" s="216" t="s">
        <v>407</v>
      </c>
      <c r="B145" s="232" t="s">
        <v>458</v>
      </c>
      <c r="C145" s="126" t="s">
        <v>207</v>
      </c>
      <c r="D145" s="183">
        <v>8</v>
      </c>
      <c r="E145" s="172"/>
      <c r="F145" s="185">
        <f t="shared" si="9"/>
        <v>0</v>
      </c>
      <c r="G145" s="196"/>
      <c r="H145" s="188"/>
    </row>
    <row r="146" spans="1:8" ht="12.75">
      <c r="A146" s="216" t="s">
        <v>426</v>
      </c>
      <c r="B146" s="233" t="s">
        <v>459</v>
      </c>
      <c r="C146" s="126" t="s">
        <v>207</v>
      </c>
      <c r="D146" s="183">
        <v>4</v>
      </c>
      <c r="E146" s="172"/>
      <c r="F146" s="185">
        <f t="shared" si="9"/>
        <v>0</v>
      </c>
      <c r="G146" s="196"/>
      <c r="H146" s="188"/>
    </row>
    <row r="147" spans="1:8" ht="12.75">
      <c r="A147" s="216" t="s">
        <v>427</v>
      </c>
      <c r="B147" s="233" t="s">
        <v>460</v>
      </c>
      <c r="C147" s="126" t="s">
        <v>207</v>
      </c>
      <c r="D147" s="183">
        <v>4</v>
      </c>
      <c r="E147" s="172"/>
      <c r="F147" s="185">
        <f t="shared" si="9"/>
        <v>0</v>
      </c>
      <c r="G147" s="196"/>
      <c r="H147" s="188"/>
    </row>
    <row r="148" spans="1:8" ht="12.75">
      <c r="A148" s="216" t="s">
        <v>428</v>
      </c>
      <c r="B148" s="233" t="s">
        <v>461</v>
      </c>
      <c r="C148" s="126" t="s">
        <v>207</v>
      </c>
      <c r="D148" s="183">
        <v>8</v>
      </c>
      <c r="E148" s="172"/>
      <c r="F148" s="185">
        <f t="shared" si="9"/>
        <v>0</v>
      </c>
      <c r="G148" s="196"/>
      <c r="H148" s="188"/>
    </row>
    <row r="149" spans="1:8" ht="12.75">
      <c r="A149" s="221"/>
      <c r="B149" s="233"/>
      <c r="C149" s="5"/>
      <c r="D149" s="171"/>
      <c r="E149" s="172"/>
      <c r="F149" s="176"/>
      <c r="G149" s="166"/>
      <c r="H149" s="188"/>
    </row>
    <row r="150" spans="1:8" ht="12.75">
      <c r="A150" s="218" t="s">
        <v>345</v>
      </c>
      <c r="B150" s="234" t="s">
        <v>354</v>
      </c>
      <c r="C150" s="8"/>
      <c r="D150" s="62"/>
      <c r="E150" s="35"/>
      <c r="F150" s="36"/>
      <c r="G150" s="181">
        <f>SUM(F151:F152)</f>
        <v>0</v>
      </c>
      <c r="H150" s="209">
        <v>0</v>
      </c>
    </row>
    <row r="151" spans="1:8" ht="12.75">
      <c r="A151" s="216" t="s">
        <v>346</v>
      </c>
      <c r="B151" s="232" t="s">
        <v>472</v>
      </c>
      <c r="C151" s="5" t="s">
        <v>206</v>
      </c>
      <c r="D151" s="171">
        <v>28</v>
      </c>
      <c r="E151" s="172"/>
      <c r="F151" s="185">
        <f>+D151*E151</f>
        <v>0</v>
      </c>
      <c r="G151" s="166"/>
      <c r="H151" s="188"/>
    </row>
    <row r="152" spans="1:8" ht="12.75">
      <c r="A152" s="216" t="s">
        <v>351</v>
      </c>
      <c r="B152" s="232" t="s">
        <v>473</v>
      </c>
      <c r="C152" s="5" t="s">
        <v>207</v>
      </c>
      <c r="D152" s="171">
        <v>14</v>
      </c>
      <c r="E152" s="172"/>
      <c r="F152" s="185">
        <f>+D152*E152</f>
        <v>0</v>
      </c>
      <c r="G152" s="166"/>
      <c r="H152" s="188"/>
    </row>
    <row r="153" spans="1:8" ht="12.75">
      <c r="A153" s="221"/>
      <c r="B153" s="233"/>
      <c r="C153" s="5"/>
      <c r="D153" s="171"/>
      <c r="E153" s="172"/>
      <c r="F153" s="173"/>
      <c r="G153" s="148"/>
      <c r="H153" s="188"/>
    </row>
    <row r="154" spans="1:8" ht="12.75">
      <c r="A154" s="218" t="s">
        <v>353</v>
      </c>
      <c r="B154" s="234" t="s">
        <v>260</v>
      </c>
      <c r="C154" s="8"/>
      <c r="D154" s="62"/>
      <c r="E154" s="35"/>
      <c r="F154" s="36"/>
      <c r="G154" s="150">
        <f>SUM(F155:F158)</f>
        <v>0</v>
      </c>
      <c r="H154" s="209">
        <v>0</v>
      </c>
    </row>
    <row r="155" spans="1:8" ht="12.75">
      <c r="A155" s="221" t="s">
        <v>347</v>
      </c>
      <c r="B155" s="233" t="s">
        <v>382</v>
      </c>
      <c r="C155" s="5" t="s">
        <v>209</v>
      </c>
      <c r="D155" s="246">
        <f>(30*0.5)</f>
        <v>15</v>
      </c>
      <c r="E155" s="172"/>
      <c r="F155" s="185">
        <f>+D155*E155</f>
        <v>0</v>
      </c>
      <c r="G155" s="166"/>
      <c r="H155" s="188"/>
    </row>
    <row r="156" spans="1:8" ht="12.75">
      <c r="A156" s="221" t="s">
        <v>410</v>
      </c>
      <c r="B156" s="233" t="s">
        <v>477</v>
      </c>
      <c r="C156" s="244" t="s">
        <v>209</v>
      </c>
      <c r="D156" s="171">
        <f>D155+(45*0.8)</f>
        <v>51</v>
      </c>
      <c r="E156" s="245"/>
      <c r="F156" s="185">
        <f>+D156*E156</f>
        <v>0</v>
      </c>
      <c r="G156" s="166"/>
      <c r="H156" s="188"/>
    </row>
    <row r="157" spans="1:8" ht="12.75">
      <c r="A157" s="221" t="s">
        <v>429</v>
      </c>
      <c r="B157" s="233" t="s">
        <v>408</v>
      </c>
      <c r="C157" s="244" t="s">
        <v>484</v>
      </c>
      <c r="D157" s="171">
        <f>2500</f>
        <v>2500</v>
      </c>
      <c r="E157" s="250"/>
      <c r="F157" s="185">
        <f>+D157*E157</f>
        <v>0</v>
      </c>
      <c r="G157" s="166"/>
      <c r="H157" s="188"/>
    </row>
    <row r="158" spans="1:8" ht="12.75">
      <c r="A158" s="221" t="s">
        <v>430</v>
      </c>
      <c r="B158" s="233" t="s">
        <v>481</v>
      </c>
      <c r="C158" s="240" t="s">
        <v>133</v>
      </c>
      <c r="D158" s="247">
        <v>1</v>
      </c>
      <c r="E158" s="245"/>
      <c r="F158" s="185">
        <f>+D158*E158</f>
        <v>0</v>
      </c>
      <c r="G158" s="166"/>
      <c r="H158" s="188"/>
    </row>
    <row r="159" spans="1:8" ht="12.75">
      <c r="A159" s="222"/>
      <c r="B159" s="134"/>
      <c r="C159" s="241"/>
      <c r="D159" s="212"/>
      <c r="E159" s="245"/>
      <c r="F159" s="173"/>
      <c r="G159" s="166"/>
      <c r="H159" s="188"/>
    </row>
    <row r="160" spans="1:8" ht="12.75">
      <c r="A160" s="218" t="s">
        <v>352</v>
      </c>
      <c r="B160" s="234" t="s">
        <v>376</v>
      </c>
      <c r="C160" s="8"/>
      <c r="D160" s="178"/>
      <c r="E160" s="35"/>
      <c r="F160" s="36"/>
      <c r="G160" s="181">
        <f>SUM(F161:F162)</f>
        <v>0</v>
      </c>
      <c r="H160" s="209">
        <v>0</v>
      </c>
    </row>
    <row r="161" spans="1:8" ht="12.75">
      <c r="A161" s="217" t="s">
        <v>411</v>
      </c>
      <c r="B161" s="232" t="s">
        <v>487</v>
      </c>
      <c r="C161" s="5" t="s">
        <v>133</v>
      </c>
      <c r="D161" s="171">
        <v>1</v>
      </c>
      <c r="E161" s="172"/>
      <c r="F161" s="185">
        <f>+D161*E161</f>
        <v>0</v>
      </c>
      <c r="G161" s="166"/>
      <c r="H161" s="188"/>
    </row>
    <row r="162" spans="1:8" ht="12.75">
      <c r="A162" s="217" t="s">
        <v>489</v>
      </c>
      <c r="B162" s="232" t="s">
        <v>486</v>
      </c>
      <c r="C162" s="5" t="s">
        <v>133</v>
      </c>
      <c r="D162" s="171">
        <v>1</v>
      </c>
      <c r="E162" s="172"/>
      <c r="F162" s="185">
        <f>+D162*E162</f>
        <v>0</v>
      </c>
      <c r="G162" s="166"/>
      <c r="H162" s="188"/>
    </row>
    <row r="163" spans="1:8" ht="12.75">
      <c r="A163" s="221"/>
      <c r="B163" s="233"/>
      <c r="C163" s="5"/>
      <c r="D163" s="171"/>
      <c r="E163" s="172"/>
      <c r="F163" s="173"/>
      <c r="G163" s="166"/>
      <c r="H163" s="188"/>
    </row>
    <row r="164" spans="1:8" ht="12.75">
      <c r="A164" s="218" t="s">
        <v>374</v>
      </c>
      <c r="B164" s="234" t="s">
        <v>219</v>
      </c>
      <c r="C164" s="242"/>
      <c r="D164" s="178"/>
      <c r="E164" s="179"/>
      <c r="F164" s="180"/>
      <c r="G164" s="181">
        <f>SUM(F166:F166)</f>
        <v>0</v>
      </c>
      <c r="H164" s="209">
        <v>0</v>
      </c>
    </row>
    <row r="165" spans="1:8" ht="12.75">
      <c r="A165" s="217" t="s">
        <v>490</v>
      </c>
      <c r="B165" s="232" t="s">
        <v>409</v>
      </c>
      <c r="C165" s="5" t="s">
        <v>133</v>
      </c>
      <c r="D165" s="171">
        <v>1</v>
      </c>
      <c r="E165" s="172"/>
      <c r="F165" s="185">
        <f>+D165*E165</f>
        <v>0</v>
      </c>
      <c r="G165" s="166"/>
      <c r="H165" s="188"/>
    </row>
    <row r="166" spans="1:8" ht="12.75">
      <c r="A166" s="216" t="s">
        <v>375</v>
      </c>
      <c r="B166" s="232" t="s">
        <v>140</v>
      </c>
      <c r="C166" s="126" t="s">
        <v>133</v>
      </c>
      <c r="D166" s="183">
        <v>1</v>
      </c>
      <c r="E166" s="172"/>
      <c r="F166" s="185">
        <f>+D166*E166</f>
        <v>0</v>
      </c>
      <c r="G166" s="196"/>
      <c r="H166" s="188"/>
    </row>
    <row r="167" spans="1:8" ht="13.5" thickBot="1">
      <c r="A167" s="217"/>
      <c r="B167" s="232"/>
      <c r="C167" s="243"/>
      <c r="D167" s="183"/>
      <c r="E167" s="172"/>
      <c r="F167" s="185"/>
      <c r="G167" s="166"/>
      <c r="H167" s="188"/>
    </row>
    <row r="168" spans="1:8" ht="13.5" thickBot="1">
      <c r="A168" s="223"/>
      <c r="B168" s="300" t="s">
        <v>10</v>
      </c>
      <c r="C168" s="301"/>
      <c r="D168" s="301"/>
      <c r="E168" s="301"/>
      <c r="F168" s="302"/>
      <c r="G168" s="213">
        <f>SUM(G20:G167)</f>
        <v>0</v>
      </c>
      <c r="H168" s="209">
        <v>1</v>
      </c>
    </row>
    <row r="169" spans="2:8" ht="12.75">
      <c r="B169" s="235"/>
      <c r="F169" s="225"/>
      <c r="G169" s="226"/>
      <c r="H169" s="211"/>
    </row>
    <row r="170" spans="2:8" ht="12.75">
      <c r="B170" s="235"/>
      <c r="F170" s="225"/>
      <c r="G170" s="226"/>
      <c r="H170" s="211"/>
    </row>
    <row r="171" spans="2:8" ht="12.75">
      <c r="B171" s="235"/>
      <c r="F171" s="225"/>
      <c r="G171" s="226"/>
      <c r="H171" s="211"/>
    </row>
    <row r="172" spans="1:8" ht="12.75">
      <c r="A172" s="252"/>
      <c r="B172" s="253"/>
      <c r="C172" s="251"/>
      <c r="D172" s="254"/>
      <c r="E172" s="255"/>
      <c r="F172" s="225"/>
      <c r="G172" s="226"/>
      <c r="H172" s="256"/>
    </row>
    <row r="173" spans="1:8" ht="12.75">
      <c r="A173" s="252"/>
      <c r="B173" s="253"/>
      <c r="C173" s="251"/>
      <c r="D173" s="254"/>
      <c r="E173" s="255"/>
      <c r="F173" s="225"/>
      <c r="G173" s="226"/>
      <c r="H173" s="256"/>
    </row>
    <row r="174" spans="1:8" ht="12.75">
      <c r="A174" s="252"/>
      <c r="B174" s="253"/>
      <c r="C174" s="251"/>
      <c r="D174" s="254"/>
      <c r="E174" s="255"/>
      <c r="F174" s="225"/>
      <c r="G174" s="226"/>
      <c r="H174" s="256"/>
    </row>
    <row r="175" spans="1:8" ht="12.75">
      <c r="A175" s="252"/>
      <c r="B175" s="253"/>
      <c r="C175" s="251"/>
      <c r="D175" s="254"/>
      <c r="E175" s="255"/>
      <c r="F175" s="225"/>
      <c r="G175" s="226"/>
      <c r="H175" s="256"/>
    </row>
    <row r="176" spans="1:8" ht="12.75">
      <c r="A176" s="252"/>
      <c r="B176" s="253"/>
      <c r="C176" s="251"/>
      <c r="D176" s="254"/>
      <c r="E176" s="255"/>
      <c r="F176" s="227"/>
      <c r="G176" s="228"/>
      <c r="H176" s="257"/>
    </row>
    <row r="177" spans="1:8" ht="12.75">
      <c r="A177" s="252"/>
      <c r="B177" s="253"/>
      <c r="C177" s="251"/>
      <c r="D177" s="254"/>
      <c r="E177" s="255"/>
      <c r="F177" s="227"/>
      <c r="G177" s="228"/>
      <c r="H177" s="257"/>
    </row>
    <row r="178" spans="1:8" ht="12.75">
      <c r="A178" s="252"/>
      <c r="B178" s="253"/>
      <c r="C178" s="251"/>
      <c r="D178" s="254"/>
      <c r="E178" s="255"/>
      <c r="F178" s="227"/>
      <c r="G178" s="229"/>
      <c r="H178" s="257"/>
    </row>
    <row r="179" spans="1:8" ht="12.75">
      <c r="A179" s="252"/>
      <c r="B179" s="253"/>
      <c r="C179" s="251"/>
      <c r="D179" s="254"/>
      <c r="E179" s="255"/>
      <c r="F179" s="227"/>
      <c r="G179" s="228"/>
      <c r="H179" s="256"/>
    </row>
    <row r="180" spans="1:8" ht="12.75">
      <c r="A180" s="252"/>
      <c r="B180" s="253"/>
      <c r="C180" s="251"/>
      <c r="D180" s="254"/>
      <c r="E180" s="255"/>
      <c r="F180" s="225"/>
      <c r="G180" s="226"/>
      <c r="H180" s="256"/>
    </row>
    <row r="181" spans="1:8" ht="12.75">
      <c r="A181" s="252"/>
      <c r="B181" s="253"/>
      <c r="C181" s="251"/>
      <c r="D181" s="254"/>
      <c r="E181" s="255"/>
      <c r="F181" s="225"/>
      <c r="G181" s="226"/>
      <c r="H181" s="256"/>
    </row>
    <row r="182" spans="1:8" ht="12.75">
      <c r="A182" s="252"/>
      <c r="B182" s="263"/>
      <c r="C182" s="264"/>
      <c r="D182" s="265"/>
      <c r="E182" s="266"/>
      <c r="F182" s="267"/>
      <c r="G182" s="268"/>
      <c r="H182" s="269"/>
    </row>
    <row r="183" spans="1:8" ht="12.75">
      <c r="A183" s="252"/>
      <c r="B183" s="263"/>
      <c r="C183" s="264"/>
      <c r="D183" s="265"/>
      <c r="E183" s="266"/>
      <c r="F183" s="267"/>
      <c r="G183" s="268"/>
      <c r="H183" s="269"/>
    </row>
    <row r="184" spans="1:8" ht="12.75">
      <c r="A184" s="252"/>
      <c r="B184" s="263"/>
      <c r="C184" s="264"/>
      <c r="D184" s="265"/>
      <c r="E184" s="266"/>
      <c r="F184" s="267"/>
      <c r="G184" s="268"/>
      <c r="H184" s="269"/>
    </row>
    <row r="185" spans="1:8" ht="12.75">
      <c r="A185" s="258"/>
      <c r="B185" s="270"/>
      <c r="C185" s="271"/>
      <c r="D185" s="272"/>
      <c r="E185" s="273"/>
      <c r="F185" s="273"/>
      <c r="G185" s="273"/>
      <c r="H185" s="274"/>
    </row>
    <row r="186" spans="1:8" ht="12.75">
      <c r="A186" s="259"/>
      <c r="B186" s="270"/>
      <c r="C186" s="271"/>
      <c r="D186" s="272"/>
      <c r="E186" s="273"/>
      <c r="F186" s="273"/>
      <c r="G186" s="275"/>
      <c r="H186" s="274"/>
    </row>
    <row r="187" spans="1:8" ht="12.75">
      <c r="A187" s="260"/>
      <c r="B187" s="276"/>
      <c r="C187" s="277"/>
      <c r="D187" s="265"/>
      <c r="E187" s="266"/>
      <c r="F187" s="278"/>
      <c r="G187" s="266"/>
      <c r="H187" s="274"/>
    </row>
    <row r="188" spans="1:8" ht="12.75">
      <c r="A188" s="252"/>
      <c r="B188" s="276"/>
      <c r="C188" s="277"/>
      <c r="D188" s="265"/>
      <c r="E188" s="266"/>
      <c r="F188" s="278"/>
      <c r="G188" s="266"/>
      <c r="H188" s="274"/>
    </row>
    <row r="189" spans="1:8" ht="12.75">
      <c r="A189" s="252"/>
      <c r="B189" s="276"/>
      <c r="C189" s="277"/>
      <c r="D189" s="265"/>
      <c r="E189" s="279"/>
      <c r="F189" s="278"/>
      <c r="G189" s="266"/>
      <c r="H189" s="274"/>
    </row>
    <row r="190" spans="1:8" ht="12.75">
      <c r="A190" s="252"/>
      <c r="B190" s="276"/>
      <c r="C190" s="277"/>
      <c r="D190" s="265"/>
      <c r="E190" s="279"/>
      <c r="F190" s="278"/>
      <c r="G190" s="266"/>
      <c r="H190" s="269"/>
    </row>
    <row r="191" spans="1:8" ht="12.75">
      <c r="A191" s="252"/>
      <c r="B191" s="276"/>
      <c r="C191" s="277"/>
      <c r="D191" s="265"/>
      <c r="E191" s="266"/>
      <c r="F191" s="279"/>
      <c r="G191" s="266"/>
      <c r="H191" s="274"/>
    </row>
    <row r="192" spans="1:8" ht="12.75">
      <c r="A192" s="258"/>
      <c r="B192" s="270"/>
      <c r="C192" s="271"/>
      <c r="D192" s="272"/>
      <c r="E192" s="273"/>
      <c r="F192" s="273"/>
      <c r="G192" s="273"/>
      <c r="H192" s="274"/>
    </row>
    <row r="193" spans="1:8" ht="12.75">
      <c r="A193" s="252"/>
      <c r="B193" s="276"/>
      <c r="C193" s="277"/>
      <c r="D193" s="265"/>
      <c r="E193" s="266"/>
      <c r="F193" s="278"/>
      <c r="G193" s="266"/>
      <c r="H193" s="269"/>
    </row>
    <row r="194" spans="1:8" ht="12.75">
      <c r="A194" s="252"/>
      <c r="B194" s="280"/>
      <c r="C194" s="264"/>
      <c r="D194" s="265"/>
      <c r="E194" s="266"/>
      <c r="F194" s="279"/>
      <c r="G194" s="266"/>
      <c r="H194" s="274"/>
    </row>
    <row r="195" spans="1:8" ht="12.75">
      <c r="A195" s="258"/>
      <c r="B195" s="270"/>
      <c r="C195" s="271"/>
      <c r="D195" s="272"/>
      <c r="E195" s="273"/>
      <c r="F195" s="273"/>
      <c r="G195" s="273"/>
      <c r="H195" s="274"/>
    </row>
    <row r="196" spans="1:8" ht="12.75">
      <c r="A196" s="252"/>
      <c r="B196" s="276"/>
      <c r="C196" s="277"/>
      <c r="D196" s="265"/>
      <c r="E196" s="279"/>
      <c r="F196" s="278"/>
      <c r="G196" s="266"/>
      <c r="H196" s="274"/>
    </row>
    <row r="197" spans="1:8" ht="15">
      <c r="A197" s="252"/>
      <c r="B197" s="280"/>
      <c r="C197" s="264"/>
      <c r="D197" s="265"/>
      <c r="E197" s="281"/>
      <c r="F197" s="279"/>
      <c r="G197" s="266"/>
      <c r="H197" s="274"/>
    </row>
    <row r="198" spans="1:8" ht="12.75">
      <c r="A198" s="252"/>
      <c r="B198" s="270"/>
      <c r="C198" s="264"/>
      <c r="D198" s="265"/>
      <c r="E198" s="273"/>
      <c r="F198" s="273"/>
      <c r="G198" s="273"/>
      <c r="H198" s="274"/>
    </row>
    <row r="199" spans="1:8" ht="12.75">
      <c r="A199" s="252"/>
      <c r="B199" s="276"/>
      <c r="C199" s="277"/>
      <c r="D199" s="265"/>
      <c r="E199" s="279"/>
      <c r="F199" s="278"/>
      <c r="G199" s="266"/>
      <c r="H199" s="274"/>
    </row>
    <row r="200" spans="1:8" ht="12.75">
      <c r="A200" s="252"/>
      <c r="B200" s="280"/>
      <c r="C200" s="264"/>
      <c r="D200" s="265"/>
      <c r="E200" s="266"/>
      <c r="F200" s="266"/>
      <c r="G200" s="266"/>
      <c r="H200" s="274"/>
    </row>
    <row r="201" spans="1:8" ht="12.75">
      <c r="A201" s="252"/>
      <c r="B201" s="270"/>
      <c r="C201" s="271"/>
      <c r="D201" s="272"/>
      <c r="E201" s="273"/>
      <c r="F201" s="273"/>
      <c r="G201" s="273"/>
      <c r="H201" s="274"/>
    </row>
    <row r="202" spans="1:8" ht="12.75">
      <c r="A202" s="252"/>
      <c r="B202" s="280"/>
      <c r="C202" s="264"/>
      <c r="D202" s="282"/>
      <c r="E202" s="282"/>
      <c r="F202" s="282"/>
      <c r="G202" s="282"/>
      <c r="H202" s="274"/>
    </row>
    <row r="203" spans="1:8" ht="12.75">
      <c r="A203" s="252"/>
      <c r="B203" s="280"/>
      <c r="C203" s="264"/>
      <c r="D203" s="282"/>
      <c r="E203" s="282"/>
      <c r="F203" s="282"/>
      <c r="G203" s="282"/>
      <c r="H203" s="274"/>
    </row>
    <row r="204" spans="1:8" ht="15.75">
      <c r="A204" s="252"/>
      <c r="B204" s="283"/>
      <c r="C204" s="284"/>
      <c r="D204" s="285"/>
      <c r="E204" s="285"/>
      <c r="F204" s="285"/>
      <c r="G204" s="286"/>
      <c r="H204" s="274"/>
    </row>
    <row r="205" spans="1:8" ht="15.75">
      <c r="A205" s="252"/>
      <c r="B205" s="283"/>
      <c r="C205" s="264"/>
      <c r="D205" s="282"/>
      <c r="E205" s="282"/>
      <c r="F205" s="282"/>
      <c r="G205" s="287"/>
      <c r="H205" s="274"/>
    </row>
    <row r="206" spans="1:8" ht="12.75">
      <c r="A206" s="252"/>
      <c r="B206" s="280"/>
      <c r="C206" s="264"/>
      <c r="D206" s="282"/>
      <c r="E206" s="282"/>
      <c r="F206" s="282"/>
      <c r="G206" s="282"/>
      <c r="H206" s="274"/>
    </row>
    <row r="207" spans="1:8" ht="12.75">
      <c r="A207" s="252"/>
      <c r="B207" s="280"/>
      <c r="C207" s="264"/>
      <c r="D207" s="282"/>
      <c r="E207" s="282"/>
      <c r="F207" s="282"/>
      <c r="G207" s="282"/>
      <c r="H207" s="274"/>
    </row>
    <row r="208" spans="1:8" ht="12.75">
      <c r="A208" s="252"/>
      <c r="B208" s="280"/>
      <c r="C208" s="264"/>
      <c r="D208" s="282"/>
      <c r="E208" s="282"/>
      <c r="F208" s="282"/>
      <c r="G208" s="282"/>
      <c r="H208" s="274"/>
    </row>
    <row r="209" spans="1:8" ht="12.75">
      <c r="A209" s="252"/>
      <c r="B209" s="280"/>
      <c r="C209" s="264"/>
      <c r="D209" s="282"/>
      <c r="E209" s="282"/>
      <c r="F209" s="282"/>
      <c r="G209" s="282"/>
      <c r="H209" s="274"/>
    </row>
    <row r="210" spans="1:8" ht="12.75">
      <c r="A210" s="252"/>
      <c r="B210" s="261"/>
      <c r="C210" s="251"/>
      <c r="D210" s="262"/>
      <c r="E210" s="262"/>
      <c r="F210" s="262"/>
      <c r="G210" s="262"/>
      <c r="H210" s="257"/>
    </row>
    <row r="211" spans="1:8" ht="12.75">
      <c r="A211" s="252"/>
      <c r="B211" s="261"/>
      <c r="C211" s="251"/>
      <c r="D211" s="262"/>
      <c r="E211" s="262"/>
      <c r="F211" s="262"/>
      <c r="G211" s="262"/>
      <c r="H211" s="257"/>
    </row>
    <row r="212" spans="1:8" ht="12.75">
      <c r="A212" s="252"/>
      <c r="B212" s="261"/>
      <c r="C212" s="251"/>
      <c r="D212" s="262"/>
      <c r="E212" s="262"/>
      <c r="F212" s="262"/>
      <c r="G212" s="262"/>
      <c r="H212" s="257"/>
    </row>
    <row r="213" spans="1:8" ht="12.75">
      <c r="A213" s="252"/>
      <c r="B213" s="261"/>
      <c r="C213" s="251"/>
      <c r="D213" s="262"/>
      <c r="E213" s="262"/>
      <c r="F213" s="262"/>
      <c r="G213" s="262"/>
      <c r="H213" s="257"/>
    </row>
    <row r="214" spans="1:8" ht="12.75">
      <c r="A214" s="252"/>
      <c r="B214" s="261"/>
      <c r="C214" s="251"/>
      <c r="D214" s="262"/>
      <c r="E214" s="262"/>
      <c r="F214" s="262"/>
      <c r="G214" s="262"/>
      <c r="H214" s="257"/>
    </row>
    <row r="215" spans="4:7" ht="12.75">
      <c r="D215" s="134"/>
      <c r="E215" s="134"/>
      <c r="F215" s="134"/>
      <c r="G215" s="134"/>
    </row>
    <row r="216" spans="4:7" ht="12.75">
      <c r="D216" s="134"/>
      <c r="E216" s="134"/>
      <c r="F216" s="134"/>
      <c r="G216" s="134"/>
    </row>
    <row r="217" spans="4:7" ht="12.75">
      <c r="D217" s="134"/>
      <c r="E217" s="134"/>
      <c r="F217" s="134"/>
      <c r="G217" s="134"/>
    </row>
    <row r="218" spans="4:7" ht="12.75">
      <c r="D218" s="134"/>
      <c r="E218" s="134"/>
      <c r="F218" s="134"/>
      <c r="G218" s="134"/>
    </row>
    <row r="219" spans="4:7" ht="12.75">
      <c r="D219" s="134"/>
      <c r="E219" s="134"/>
      <c r="F219" s="134"/>
      <c r="G219" s="134"/>
    </row>
    <row r="220" spans="4:7" ht="12.75">
      <c r="D220" s="134"/>
      <c r="E220" s="134"/>
      <c r="F220" s="134"/>
      <c r="G220" s="134"/>
    </row>
    <row r="221" spans="4:7" ht="12.75">
      <c r="D221" s="134"/>
      <c r="E221" s="134"/>
      <c r="F221" s="134"/>
      <c r="G221" s="134"/>
    </row>
    <row r="222" spans="4:7" ht="12.75">
      <c r="D222" s="134"/>
      <c r="E222" s="134"/>
      <c r="F222" s="134"/>
      <c r="G222" s="134"/>
    </row>
  </sheetData>
  <sheetProtection/>
  <mergeCells count="20">
    <mergeCell ref="A18:G18"/>
    <mergeCell ref="B168:F168"/>
    <mergeCell ref="A13:G13"/>
    <mergeCell ref="A14:G14"/>
    <mergeCell ref="A15:G15"/>
    <mergeCell ref="A16:B17"/>
    <mergeCell ref="C16:G16"/>
    <mergeCell ref="C17:G17"/>
    <mergeCell ref="A12:G12"/>
    <mergeCell ref="A1:G1"/>
    <mergeCell ref="A2:G2"/>
    <mergeCell ref="A3:G3"/>
    <mergeCell ref="A4:G4"/>
    <mergeCell ref="A5:G5"/>
    <mergeCell ref="A6:G6"/>
    <mergeCell ref="A7:G7"/>
    <mergeCell ref="A8:G8"/>
    <mergeCell ref="A9:G9"/>
    <mergeCell ref="A10:G10"/>
    <mergeCell ref="A11:G11"/>
  </mergeCells>
  <conditionalFormatting sqref="C17:C18 A3:G11 A18:B18 D18:G18 A13:G13 A12">
    <cfRule type="containsText" priority="1" dxfId="3" operator="containsText" text="1.0.0">
      <formula>NOT(ISERROR(SEARCH("1.0.0",A3)))</formula>
    </cfRule>
  </conditionalFormatting>
  <printOptions horizontalCentered="1"/>
  <pageMargins left="0.25" right="0.25" top="0.75" bottom="0.75" header="0.3" footer="0.3"/>
  <pageSetup fitToHeight="0" fitToWidth="1" horizontalDpi="600" verticalDpi="600" orientation="portrait" paperSize="9" scale="69" r:id="rId4"/>
  <legacyDrawing r:id="rId3"/>
  <oleObjects>
    <oleObject progId="Word.Picture.8" shapeId="150655216" r:id="rId1"/>
    <oleObject progId="Word.Picture.8" shapeId="150655215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6"/>
  <sheetViews>
    <sheetView zoomScale="115" zoomScaleNormal="115" zoomScaleSheetLayoutView="110" zoomScalePageLayoutView="0" workbookViewId="0" topLeftCell="A13">
      <selection activeCell="L93" sqref="L93"/>
    </sheetView>
  </sheetViews>
  <sheetFormatPr defaultColWidth="11.421875" defaultRowHeight="15"/>
  <cols>
    <col min="1" max="1" width="6.140625" style="3" customWidth="1"/>
    <col min="2" max="2" width="96.00390625" style="1" customWidth="1"/>
    <col min="3" max="3" width="8.140625" style="3" customWidth="1"/>
    <col min="4" max="4" width="9.140625" style="13" customWidth="1"/>
    <col min="5" max="5" width="15.140625" style="39" bestFit="1" customWidth="1"/>
    <col min="6" max="6" width="14.7109375" style="39" bestFit="1" customWidth="1"/>
    <col min="7" max="7" width="15.421875" style="39" customWidth="1"/>
    <col min="8" max="8" width="14.140625" style="1" customWidth="1"/>
    <col min="9" max="9" width="13.8515625" style="1" customWidth="1"/>
    <col min="10" max="10" width="11.421875" style="1" customWidth="1"/>
    <col min="11" max="11" width="15.57421875" style="1" customWidth="1"/>
    <col min="12" max="16384" width="11.421875" style="1" customWidth="1"/>
  </cols>
  <sheetData>
    <row r="1" spans="1:7" ht="12.75">
      <c r="A1" s="331"/>
      <c r="B1" s="332"/>
      <c r="C1" s="332"/>
      <c r="D1" s="332"/>
      <c r="E1" s="332"/>
      <c r="F1" s="332"/>
      <c r="G1" s="333"/>
    </row>
    <row r="2" spans="1:7" ht="12.75">
      <c r="A2" s="325"/>
      <c r="B2" s="326"/>
      <c r="C2" s="326"/>
      <c r="D2" s="326"/>
      <c r="E2" s="326"/>
      <c r="F2" s="326"/>
      <c r="G2" s="327"/>
    </row>
    <row r="3" spans="1:7" ht="12.75">
      <c r="A3" s="325"/>
      <c r="B3" s="326"/>
      <c r="C3" s="326"/>
      <c r="D3" s="326"/>
      <c r="E3" s="326"/>
      <c r="F3" s="326"/>
      <c r="G3" s="327"/>
    </row>
    <row r="4" spans="1:7" ht="12.75">
      <c r="A4" s="325"/>
      <c r="B4" s="326"/>
      <c r="C4" s="326"/>
      <c r="D4" s="326"/>
      <c r="E4" s="326"/>
      <c r="F4" s="326"/>
      <c r="G4" s="327"/>
    </row>
    <row r="5" spans="1:7" ht="12.75">
      <c r="A5" s="325"/>
      <c r="B5" s="326"/>
      <c r="C5" s="326"/>
      <c r="D5" s="326"/>
      <c r="E5" s="326"/>
      <c r="F5" s="326"/>
      <c r="G5" s="327"/>
    </row>
    <row r="6" spans="1:7" ht="12.75">
      <c r="A6" s="325"/>
      <c r="B6" s="326"/>
      <c r="C6" s="326"/>
      <c r="D6" s="326"/>
      <c r="E6" s="326"/>
      <c r="F6" s="326"/>
      <c r="G6" s="327"/>
    </row>
    <row r="7" spans="1:15" s="19" customFormat="1" ht="12.75">
      <c r="A7" s="328" t="s">
        <v>28</v>
      </c>
      <c r="B7" s="329"/>
      <c r="C7" s="329"/>
      <c r="D7" s="329"/>
      <c r="E7" s="329"/>
      <c r="F7" s="329"/>
      <c r="G7" s="330"/>
      <c r="H7" s="1"/>
      <c r="I7" s="48"/>
      <c r="J7" s="1"/>
      <c r="K7" s="1"/>
      <c r="L7" s="1"/>
      <c r="M7" s="1"/>
      <c r="N7" s="1"/>
      <c r="O7" s="1"/>
    </row>
    <row r="8" spans="1:15" s="19" customFormat="1" ht="12.75">
      <c r="A8" s="328" t="s">
        <v>29</v>
      </c>
      <c r="B8" s="329"/>
      <c r="C8" s="329"/>
      <c r="D8" s="329"/>
      <c r="E8" s="329"/>
      <c r="F8" s="329"/>
      <c r="G8" s="330"/>
      <c r="H8" s="1"/>
      <c r="I8" s="1"/>
      <c r="J8" s="1"/>
      <c r="K8" s="1"/>
      <c r="L8" s="1"/>
      <c r="M8" s="1"/>
      <c r="N8" s="1"/>
      <c r="O8" s="1"/>
    </row>
    <row r="9" spans="1:15" s="19" customFormat="1" ht="12.75">
      <c r="A9" s="328" t="s">
        <v>30</v>
      </c>
      <c r="B9" s="329"/>
      <c r="C9" s="329"/>
      <c r="D9" s="329"/>
      <c r="E9" s="329"/>
      <c r="F9" s="329"/>
      <c r="G9" s="330"/>
      <c r="H9" s="1"/>
      <c r="I9" s="1"/>
      <c r="J9" s="1"/>
      <c r="K9" s="1"/>
      <c r="L9" s="1"/>
      <c r="M9" s="1"/>
      <c r="N9" s="1"/>
      <c r="O9" s="1"/>
    </row>
    <row r="10" spans="1:15" s="19" customFormat="1" ht="12.75">
      <c r="A10" s="328" t="s">
        <v>31</v>
      </c>
      <c r="B10" s="329"/>
      <c r="C10" s="329"/>
      <c r="D10" s="329"/>
      <c r="E10" s="329"/>
      <c r="F10" s="329"/>
      <c r="G10" s="330"/>
      <c r="H10" s="1"/>
      <c r="I10" s="1"/>
      <c r="J10" s="1"/>
      <c r="K10" s="1"/>
      <c r="L10" s="1"/>
      <c r="M10" s="1"/>
      <c r="N10" s="1"/>
      <c r="O10" s="1"/>
    </row>
    <row r="11" spans="1:15" s="19" customFormat="1" ht="13.5" thickBot="1">
      <c r="A11" s="317"/>
      <c r="B11" s="318"/>
      <c r="C11" s="318"/>
      <c r="D11" s="318"/>
      <c r="E11" s="318"/>
      <c r="F11" s="318"/>
      <c r="G11" s="319"/>
      <c r="H11" s="1"/>
      <c r="I11" s="1"/>
      <c r="J11" s="1"/>
      <c r="K11" s="1"/>
      <c r="L11" s="1"/>
      <c r="M11" s="1"/>
      <c r="N11" s="1"/>
      <c r="O11" s="1"/>
    </row>
    <row r="12" spans="1:15" s="19" customFormat="1" ht="13.5" thickBot="1">
      <c r="A12" s="316" t="s">
        <v>77</v>
      </c>
      <c r="B12" s="320"/>
      <c r="C12" s="320"/>
      <c r="D12" s="320"/>
      <c r="E12" s="320"/>
      <c r="F12" s="320"/>
      <c r="G12" s="321"/>
      <c r="H12" s="1"/>
      <c r="I12" s="1"/>
      <c r="J12" s="1"/>
      <c r="K12" s="1"/>
      <c r="L12" s="1"/>
      <c r="M12" s="1"/>
      <c r="N12" s="1"/>
      <c r="O12" s="1"/>
    </row>
    <row r="13" spans="1:15" s="19" customFormat="1" ht="13.5" thickBot="1">
      <c r="A13" s="322" t="s">
        <v>121</v>
      </c>
      <c r="B13" s="323"/>
      <c r="C13" s="323"/>
      <c r="D13" s="323"/>
      <c r="E13" s="323"/>
      <c r="F13" s="323"/>
      <c r="G13" s="324"/>
      <c r="H13" s="1"/>
      <c r="I13" s="1"/>
      <c r="J13" s="1"/>
      <c r="K13" s="1"/>
      <c r="L13" s="1"/>
      <c r="M13" s="1"/>
      <c r="N13" s="1"/>
      <c r="O13" s="1"/>
    </row>
    <row r="14" spans="1:15" s="19" customFormat="1" ht="13.5" thickBot="1">
      <c r="A14" s="334" t="s">
        <v>79</v>
      </c>
      <c r="B14" s="335"/>
      <c r="C14" s="322" t="s">
        <v>122</v>
      </c>
      <c r="D14" s="323"/>
      <c r="E14" s="323"/>
      <c r="F14" s="323"/>
      <c r="G14" s="324"/>
      <c r="H14" s="1"/>
      <c r="I14" s="1"/>
      <c r="J14" s="1"/>
      <c r="K14" s="1"/>
      <c r="L14" s="1"/>
      <c r="M14" s="1"/>
      <c r="N14" s="1"/>
      <c r="O14" s="1"/>
    </row>
    <row r="15" spans="1:15" s="19" customFormat="1" ht="13.5" thickBot="1">
      <c r="A15" s="322" t="s">
        <v>141</v>
      </c>
      <c r="B15" s="324"/>
      <c r="C15" s="303" t="s">
        <v>123</v>
      </c>
      <c r="D15" s="336"/>
      <c r="E15" s="336"/>
      <c r="F15" s="336"/>
      <c r="G15" s="337"/>
      <c r="H15" s="1"/>
      <c r="I15" s="1"/>
      <c r="J15" s="1"/>
      <c r="K15" s="1"/>
      <c r="L15" s="1"/>
      <c r="M15" s="1"/>
      <c r="N15" s="1"/>
      <c r="O15" s="1"/>
    </row>
    <row r="16" spans="1:15" s="19" customFormat="1" ht="13.5" thickBot="1">
      <c r="A16" s="49"/>
      <c r="B16" s="49"/>
      <c r="C16" s="50"/>
      <c r="D16" s="50"/>
      <c r="E16" s="49"/>
      <c r="F16" s="51"/>
      <c r="G16" s="81"/>
      <c r="H16" s="69"/>
      <c r="I16" s="1"/>
      <c r="J16" s="1"/>
      <c r="K16" s="1"/>
      <c r="L16" s="1"/>
      <c r="M16" s="1"/>
      <c r="N16" s="1"/>
      <c r="O16" s="1"/>
    </row>
    <row r="17" spans="1:13" ht="26.25" thickBot="1">
      <c r="A17" s="14"/>
      <c r="B17" s="15" t="s">
        <v>24</v>
      </c>
      <c r="C17" s="16" t="s">
        <v>0</v>
      </c>
      <c r="D17" s="15" t="s">
        <v>1</v>
      </c>
      <c r="E17" s="17" t="s">
        <v>2</v>
      </c>
      <c r="F17" s="17" t="s">
        <v>25</v>
      </c>
      <c r="G17" s="18" t="s">
        <v>26</v>
      </c>
      <c r="H17" s="4"/>
      <c r="I17" s="74"/>
      <c r="J17" s="75"/>
      <c r="K17" s="75"/>
      <c r="L17" s="75"/>
      <c r="M17" s="75"/>
    </row>
    <row r="18" spans="1:13" ht="12.75">
      <c r="A18" s="67" t="s">
        <v>33</v>
      </c>
      <c r="B18" s="23" t="s">
        <v>3</v>
      </c>
      <c r="C18" s="7"/>
      <c r="D18" s="61"/>
      <c r="E18" s="32"/>
      <c r="F18" s="32"/>
      <c r="G18" s="33">
        <f>SUM(F19:F23)</f>
        <v>92163.04000000001</v>
      </c>
      <c r="H18" s="4"/>
      <c r="I18" s="74"/>
      <c r="J18" s="75"/>
      <c r="K18" s="75"/>
      <c r="L18" s="75"/>
      <c r="M18" s="75"/>
    </row>
    <row r="19" spans="1:13" s="2" customFormat="1" ht="12.75">
      <c r="A19" s="104" t="s">
        <v>34</v>
      </c>
      <c r="B19" s="105" t="s">
        <v>117</v>
      </c>
      <c r="C19" s="106" t="s">
        <v>5</v>
      </c>
      <c r="D19" s="107">
        <v>1</v>
      </c>
      <c r="E19" s="108">
        <v>16000</v>
      </c>
      <c r="F19" s="108">
        <f>D19*E19</f>
        <v>16000</v>
      </c>
      <c r="G19" s="109"/>
      <c r="H19" s="65"/>
      <c r="I19" s="76"/>
      <c r="J19" s="65"/>
      <c r="K19" s="65"/>
      <c r="L19" s="65"/>
      <c r="M19" s="65"/>
    </row>
    <row r="20" spans="1:13" s="2" customFormat="1" ht="12.75">
      <c r="A20" s="104" t="s">
        <v>35</v>
      </c>
      <c r="B20" s="105" t="s">
        <v>23</v>
      </c>
      <c r="C20" s="106" t="s">
        <v>22</v>
      </c>
      <c r="D20" s="107">
        <v>2</v>
      </c>
      <c r="E20" s="108">
        <v>4726.52</v>
      </c>
      <c r="F20" s="108">
        <f>D20*E20</f>
        <v>9453.04</v>
      </c>
      <c r="G20" s="109"/>
      <c r="H20" s="65"/>
      <c r="I20" s="76"/>
      <c r="J20" s="65"/>
      <c r="K20" s="65"/>
      <c r="L20" s="65"/>
      <c r="M20" s="65"/>
    </row>
    <row r="21" spans="1:13" s="2" customFormat="1" ht="12.75">
      <c r="A21" s="104" t="s">
        <v>36</v>
      </c>
      <c r="B21" s="105" t="s">
        <v>118</v>
      </c>
      <c r="C21" s="106" t="s">
        <v>6</v>
      </c>
      <c r="D21" s="107">
        <v>1</v>
      </c>
      <c r="E21" s="108">
        <v>7000</v>
      </c>
      <c r="F21" s="108">
        <f>D21*E21</f>
        <v>7000</v>
      </c>
      <c r="G21" s="109"/>
      <c r="H21" s="65" t="s">
        <v>181</v>
      </c>
      <c r="I21" s="76"/>
      <c r="J21" s="65"/>
      <c r="K21" s="65"/>
      <c r="L21" s="65"/>
      <c r="M21" s="65"/>
    </row>
    <row r="22" spans="1:13" s="2" customFormat="1" ht="12.75">
      <c r="A22" s="104" t="s">
        <v>37</v>
      </c>
      <c r="B22" s="105" t="s">
        <v>119</v>
      </c>
      <c r="C22" s="106" t="s">
        <v>4</v>
      </c>
      <c r="D22" s="107">
        <v>100</v>
      </c>
      <c r="E22" s="108">
        <v>347.1</v>
      </c>
      <c r="F22" s="108">
        <f>D22*E22</f>
        <v>34710</v>
      </c>
      <c r="G22" s="109"/>
      <c r="H22" s="65"/>
      <c r="I22" s="76"/>
      <c r="J22" s="65"/>
      <c r="K22" s="65"/>
      <c r="L22" s="65"/>
      <c r="M22" s="65"/>
    </row>
    <row r="23" spans="1:13" s="2" customFormat="1" ht="12.75">
      <c r="A23" s="30" t="s">
        <v>38</v>
      </c>
      <c r="B23" s="24" t="s">
        <v>120</v>
      </c>
      <c r="C23" s="63" t="s">
        <v>5</v>
      </c>
      <c r="D23" s="64">
        <v>1</v>
      </c>
      <c r="E23" s="54">
        <v>25000</v>
      </c>
      <c r="F23" s="54">
        <f>D23*E23</f>
        <v>25000</v>
      </c>
      <c r="G23" s="102"/>
      <c r="H23" s="82"/>
      <c r="I23" s="76"/>
      <c r="J23" s="65"/>
      <c r="K23" s="65"/>
      <c r="L23" s="65"/>
      <c r="M23" s="65"/>
    </row>
    <row r="24" spans="1:13" s="2" customFormat="1" ht="12.75">
      <c r="A24" s="27"/>
      <c r="B24" s="22"/>
      <c r="C24" s="6"/>
      <c r="D24" s="11"/>
      <c r="E24" s="34"/>
      <c r="F24" s="10"/>
      <c r="G24" s="38"/>
      <c r="H24" s="77"/>
      <c r="I24" s="78"/>
      <c r="J24" s="66"/>
      <c r="K24" s="65"/>
      <c r="L24" s="65"/>
      <c r="M24" s="65"/>
    </row>
    <row r="25" spans="1:13" s="2" customFormat="1" ht="12.75">
      <c r="A25" s="28" t="s">
        <v>39</v>
      </c>
      <c r="B25" s="23" t="s">
        <v>11</v>
      </c>
      <c r="C25" s="8"/>
      <c r="D25" s="62"/>
      <c r="E25" s="35"/>
      <c r="F25" s="35"/>
      <c r="G25" s="73">
        <f>SUM(F26:F41)</f>
        <v>189063.089966</v>
      </c>
      <c r="H25" s="80"/>
      <c r="I25" s="79"/>
      <c r="J25" s="66"/>
      <c r="K25" s="65"/>
      <c r="L25" s="65"/>
      <c r="M25" s="65"/>
    </row>
    <row r="26" spans="1:13" s="2" customFormat="1" ht="12.75">
      <c r="A26" s="30" t="s">
        <v>40</v>
      </c>
      <c r="B26" s="24" t="s">
        <v>80</v>
      </c>
      <c r="C26" s="5" t="s">
        <v>6</v>
      </c>
      <c r="D26" s="11">
        <v>33</v>
      </c>
      <c r="E26" s="54">
        <v>513</v>
      </c>
      <c r="F26" s="54">
        <f aca="true" t="shared" si="0" ref="F26:F41">D26*E26</f>
        <v>16929</v>
      </c>
      <c r="G26" s="38"/>
      <c r="H26" s="77"/>
      <c r="I26" s="78"/>
      <c r="J26" s="66"/>
      <c r="K26" s="65"/>
      <c r="L26" s="65"/>
      <c r="M26" s="65"/>
    </row>
    <row r="27" spans="1:13" s="2" customFormat="1" ht="12.75">
      <c r="A27" s="30" t="s">
        <v>41</v>
      </c>
      <c r="B27" s="24" t="s">
        <v>81</v>
      </c>
      <c r="C27" s="5" t="s">
        <v>6</v>
      </c>
      <c r="D27" s="12">
        <v>1</v>
      </c>
      <c r="E27" s="37">
        <v>513</v>
      </c>
      <c r="F27" s="54">
        <v>513</v>
      </c>
      <c r="G27" s="38"/>
      <c r="H27" s="77"/>
      <c r="I27" s="78"/>
      <c r="J27" s="66"/>
      <c r="K27" s="65"/>
      <c r="L27" s="65"/>
      <c r="M27" s="65"/>
    </row>
    <row r="28" spans="1:13" s="2" customFormat="1" ht="12.75">
      <c r="A28" s="104" t="s">
        <v>42</v>
      </c>
      <c r="B28" s="105" t="s">
        <v>27</v>
      </c>
      <c r="C28" s="110" t="s">
        <v>6</v>
      </c>
      <c r="D28" s="111">
        <v>41</v>
      </c>
      <c r="E28" s="112">
        <v>378</v>
      </c>
      <c r="F28" s="108">
        <f t="shared" si="0"/>
        <v>15498</v>
      </c>
      <c r="G28" s="109"/>
      <c r="H28" s="77"/>
      <c r="I28" s="78"/>
      <c r="J28" s="66"/>
      <c r="K28" s="65"/>
      <c r="L28" s="65"/>
      <c r="M28" s="65"/>
    </row>
    <row r="29" spans="1:13" s="2" customFormat="1" ht="12.75">
      <c r="A29" s="30" t="s">
        <v>43</v>
      </c>
      <c r="B29" s="24" t="s">
        <v>82</v>
      </c>
      <c r="C29" s="5" t="s">
        <v>6</v>
      </c>
      <c r="D29" s="11">
        <v>9</v>
      </c>
      <c r="E29" s="37">
        <v>846</v>
      </c>
      <c r="F29" s="54">
        <f t="shared" si="0"/>
        <v>7614</v>
      </c>
      <c r="G29" s="38"/>
      <c r="H29" s="77"/>
      <c r="I29" s="78"/>
      <c r="J29" s="66"/>
      <c r="K29" s="65"/>
      <c r="L29" s="65"/>
      <c r="M29" s="65"/>
    </row>
    <row r="30" spans="1:13" s="2" customFormat="1" ht="12.75">
      <c r="A30" s="30" t="s">
        <v>44</v>
      </c>
      <c r="B30" s="24" t="s">
        <v>83</v>
      </c>
      <c r="C30" s="5" t="s">
        <v>5</v>
      </c>
      <c r="D30" s="11">
        <v>1</v>
      </c>
      <c r="E30" s="37">
        <v>14364</v>
      </c>
      <c r="F30" s="54">
        <f t="shared" si="0"/>
        <v>14364</v>
      </c>
      <c r="G30" s="38"/>
      <c r="H30" s="77" t="s">
        <v>181</v>
      </c>
      <c r="I30" s="78"/>
      <c r="J30" s="66"/>
      <c r="K30" s="65"/>
      <c r="L30" s="65"/>
      <c r="M30" s="65"/>
    </row>
    <row r="31" spans="1:13" s="2" customFormat="1" ht="12.75">
      <c r="A31" s="30" t="s">
        <v>45</v>
      </c>
      <c r="B31" s="24" t="s">
        <v>84</v>
      </c>
      <c r="C31" s="5" t="s">
        <v>5</v>
      </c>
      <c r="D31" s="11">
        <v>1</v>
      </c>
      <c r="E31" s="37">
        <v>21870</v>
      </c>
      <c r="F31" s="54">
        <f t="shared" si="0"/>
        <v>21870</v>
      </c>
      <c r="G31" s="38"/>
      <c r="H31" s="77"/>
      <c r="I31" s="78"/>
      <c r="J31" s="66"/>
      <c r="K31" s="65"/>
      <c r="L31" s="65"/>
      <c r="M31" s="65"/>
    </row>
    <row r="32" spans="1:13" s="2" customFormat="1" ht="12.75">
      <c r="A32" s="30" t="s">
        <v>46</v>
      </c>
      <c r="B32" s="24" t="s">
        <v>85</v>
      </c>
      <c r="C32" s="5" t="s">
        <v>5</v>
      </c>
      <c r="D32" s="11">
        <v>1</v>
      </c>
      <c r="E32" s="37">
        <v>17500</v>
      </c>
      <c r="F32" s="54">
        <f t="shared" si="0"/>
        <v>17500</v>
      </c>
      <c r="G32" s="38"/>
      <c r="H32" s="89"/>
      <c r="I32" s="78"/>
      <c r="J32" s="66"/>
      <c r="K32" s="65"/>
      <c r="L32" s="65"/>
      <c r="M32" s="65"/>
    </row>
    <row r="33" spans="1:13" s="2" customFormat="1" ht="12.75">
      <c r="A33" s="30" t="s">
        <v>47</v>
      </c>
      <c r="B33" s="24" t="s">
        <v>20</v>
      </c>
      <c r="C33" s="5" t="s">
        <v>14</v>
      </c>
      <c r="D33" s="11">
        <v>27.224</v>
      </c>
      <c r="E33" s="37">
        <f>305.25*0.9</f>
        <v>274.725</v>
      </c>
      <c r="F33" s="54">
        <f t="shared" si="0"/>
        <v>7479.113400000001</v>
      </c>
      <c r="G33" s="38"/>
      <c r="H33" s="77"/>
      <c r="I33" s="78"/>
      <c r="J33" s="66"/>
      <c r="K33" s="65"/>
      <c r="L33" s="65"/>
      <c r="M33" s="65"/>
    </row>
    <row r="34" spans="1:13" s="2" customFormat="1" ht="12.75">
      <c r="A34" s="104" t="s">
        <v>48</v>
      </c>
      <c r="B34" s="105" t="s">
        <v>21</v>
      </c>
      <c r="C34" s="110" t="s">
        <v>14</v>
      </c>
      <c r="D34" s="111">
        <v>297</v>
      </c>
      <c r="E34" s="112">
        <v>227.01</v>
      </c>
      <c r="F34" s="108">
        <f t="shared" si="0"/>
        <v>67421.97</v>
      </c>
      <c r="G34" s="109"/>
      <c r="H34" s="77"/>
      <c r="I34" s="78"/>
      <c r="J34" s="66"/>
      <c r="K34" s="65"/>
      <c r="L34" s="65"/>
      <c r="M34" s="65"/>
    </row>
    <row r="35" spans="1:13" s="2" customFormat="1" ht="12.75">
      <c r="A35" s="30" t="s">
        <v>49</v>
      </c>
      <c r="B35" s="24" t="s">
        <v>18</v>
      </c>
      <c r="C35" s="5" t="s">
        <v>14</v>
      </c>
      <c r="D35" s="11">
        <v>0.6062</v>
      </c>
      <c r="E35" s="37">
        <f>2042.7*0.9</f>
        <v>1838.43</v>
      </c>
      <c r="F35" s="54">
        <f t="shared" si="0"/>
        <v>1114.456266</v>
      </c>
      <c r="G35" s="38"/>
      <c r="H35" s="77"/>
      <c r="I35" s="78"/>
      <c r="J35" s="66"/>
      <c r="K35" s="65"/>
      <c r="L35" s="65"/>
      <c r="M35" s="65"/>
    </row>
    <row r="36" spans="1:13" s="2" customFormat="1" ht="12.75">
      <c r="A36" s="30" t="s">
        <v>50</v>
      </c>
      <c r="B36" s="24" t="s">
        <v>86</v>
      </c>
      <c r="C36" s="5" t="s">
        <v>6</v>
      </c>
      <c r="D36" s="11">
        <v>1</v>
      </c>
      <c r="E36" s="37">
        <f>870*0.9</f>
        <v>783</v>
      </c>
      <c r="F36" s="54">
        <f t="shared" si="0"/>
        <v>783</v>
      </c>
      <c r="G36" s="38"/>
      <c r="H36" s="77"/>
      <c r="I36" s="78"/>
      <c r="J36" s="66"/>
      <c r="K36" s="65"/>
      <c r="L36" s="65"/>
      <c r="M36" s="65"/>
    </row>
    <row r="37" spans="1:13" s="2" customFormat="1" ht="12.75">
      <c r="A37" s="104" t="s">
        <v>51</v>
      </c>
      <c r="B37" s="105" t="s">
        <v>90</v>
      </c>
      <c r="C37" s="110" t="s">
        <v>14</v>
      </c>
      <c r="D37" s="111">
        <v>28.306</v>
      </c>
      <c r="E37" s="112">
        <v>247.55</v>
      </c>
      <c r="F37" s="108">
        <f t="shared" si="0"/>
        <v>7007.1503</v>
      </c>
      <c r="G37" s="109"/>
      <c r="H37" s="77"/>
      <c r="I37" s="78"/>
      <c r="J37" s="66"/>
      <c r="K37" s="65"/>
      <c r="L37" s="65"/>
      <c r="M37" s="65"/>
    </row>
    <row r="38" spans="1:13" s="2" customFormat="1" ht="12.75">
      <c r="A38" s="30" t="s">
        <v>52</v>
      </c>
      <c r="B38" s="24" t="s">
        <v>75</v>
      </c>
      <c r="C38" s="5" t="s">
        <v>6</v>
      </c>
      <c r="D38" s="11">
        <v>1</v>
      </c>
      <c r="E38" s="37">
        <f>226*0.9</f>
        <v>203.4</v>
      </c>
      <c r="F38" s="54">
        <f t="shared" si="0"/>
        <v>203.4</v>
      </c>
      <c r="G38" s="38"/>
      <c r="H38" s="77"/>
      <c r="I38" s="78"/>
      <c r="J38" s="66"/>
      <c r="K38" s="65"/>
      <c r="L38" s="65"/>
      <c r="M38" s="65"/>
    </row>
    <row r="39" spans="1:13" s="2" customFormat="1" ht="15">
      <c r="A39" s="104" t="s">
        <v>53</v>
      </c>
      <c r="B39" s="105" t="s">
        <v>87</v>
      </c>
      <c r="C39" s="110" t="s">
        <v>14</v>
      </c>
      <c r="D39" s="111">
        <v>19.7</v>
      </c>
      <c r="E39" s="112">
        <v>280</v>
      </c>
      <c r="F39" s="108">
        <f t="shared" si="0"/>
        <v>5516</v>
      </c>
      <c r="G39" s="113"/>
      <c r="H39" s="77"/>
      <c r="I39" s="78"/>
      <c r="J39" s="66"/>
      <c r="K39" s="65"/>
      <c r="L39" s="65"/>
      <c r="M39" s="65"/>
    </row>
    <row r="40" spans="1:13" s="2" customFormat="1" ht="12.75">
      <c r="A40" s="30" t="s">
        <v>54</v>
      </c>
      <c r="B40" s="24" t="s">
        <v>88</v>
      </c>
      <c r="C40" s="5" t="s">
        <v>6</v>
      </c>
      <c r="D40" s="11">
        <v>8</v>
      </c>
      <c r="E40" s="37">
        <v>500</v>
      </c>
      <c r="F40" s="54">
        <f t="shared" si="0"/>
        <v>4000</v>
      </c>
      <c r="G40" s="38"/>
      <c r="H40" s="77"/>
      <c r="I40" s="78"/>
      <c r="J40" s="66"/>
      <c r="K40" s="65"/>
      <c r="L40" s="65"/>
      <c r="M40" s="65"/>
    </row>
    <row r="41" spans="1:13" s="2" customFormat="1" ht="12.75">
      <c r="A41" s="30">
        <v>2.16</v>
      </c>
      <c r="B41" s="24" t="s">
        <v>89</v>
      </c>
      <c r="C41" s="5" t="s">
        <v>4</v>
      </c>
      <c r="D41" s="11">
        <v>2.5</v>
      </c>
      <c r="E41" s="37">
        <v>500</v>
      </c>
      <c r="F41" s="54">
        <f t="shared" si="0"/>
        <v>1250</v>
      </c>
      <c r="G41" s="38"/>
      <c r="H41" s="77"/>
      <c r="I41" s="78"/>
      <c r="J41" s="66"/>
      <c r="K41" s="65"/>
      <c r="L41" s="65"/>
      <c r="M41" s="65"/>
    </row>
    <row r="42" spans="1:13" s="2" customFormat="1" ht="12.75">
      <c r="A42" s="29"/>
      <c r="B42" s="68"/>
      <c r="C42" s="5"/>
      <c r="D42" s="11"/>
      <c r="E42" s="37"/>
      <c r="F42" s="37"/>
      <c r="G42" s="38"/>
      <c r="H42" s="77"/>
      <c r="I42" s="78"/>
      <c r="J42" s="66"/>
      <c r="K42" s="65"/>
      <c r="L42" s="65"/>
      <c r="M42" s="65"/>
    </row>
    <row r="43" spans="1:13" s="2" customFormat="1" ht="12.75">
      <c r="A43" s="72">
        <v>3</v>
      </c>
      <c r="B43" s="23" t="s">
        <v>15</v>
      </c>
      <c r="C43" s="8"/>
      <c r="D43" s="62"/>
      <c r="E43" s="35"/>
      <c r="F43" s="35"/>
      <c r="G43" s="36">
        <f>SUM(F44:F51)</f>
        <v>209290.50156</v>
      </c>
      <c r="H43" s="77"/>
      <c r="I43" s="78"/>
      <c r="J43" s="66"/>
      <c r="K43" s="65"/>
      <c r="L43" s="65"/>
      <c r="M43" s="65"/>
    </row>
    <row r="44" spans="1:13" s="2" customFormat="1" ht="12.75">
      <c r="A44" s="104">
        <v>3.1</v>
      </c>
      <c r="B44" s="105" t="s">
        <v>91</v>
      </c>
      <c r="C44" s="110" t="s">
        <v>7</v>
      </c>
      <c r="D44" s="111">
        <v>70</v>
      </c>
      <c r="E44" s="112">
        <v>748</v>
      </c>
      <c r="F44" s="114">
        <f aca="true" t="shared" si="1" ref="F44:F51">D44*E44</f>
        <v>52360</v>
      </c>
      <c r="G44" s="115"/>
      <c r="H44" s="77">
        <f>467.5*1.6</f>
        <v>748</v>
      </c>
      <c r="I44" s="78"/>
      <c r="J44" s="66"/>
      <c r="K44" s="65"/>
      <c r="L44" s="65"/>
      <c r="M44" s="65"/>
    </row>
    <row r="45" spans="1:13" s="2" customFormat="1" ht="12.75">
      <c r="A45" s="104">
        <v>3.2</v>
      </c>
      <c r="B45" s="105" t="s">
        <v>92</v>
      </c>
      <c r="C45" s="110" t="s">
        <v>7</v>
      </c>
      <c r="D45" s="111">
        <v>102.52</v>
      </c>
      <c r="E45" s="112">
        <v>235</v>
      </c>
      <c r="F45" s="114">
        <f t="shared" si="1"/>
        <v>24092.2</v>
      </c>
      <c r="G45" s="115"/>
      <c r="H45" s="77"/>
      <c r="I45" s="78"/>
      <c r="J45" s="66"/>
      <c r="K45" s="65"/>
      <c r="L45" s="65"/>
      <c r="M45" s="65"/>
    </row>
    <row r="46" spans="1:13" s="2" customFormat="1" ht="12.75">
      <c r="A46" s="30">
        <v>3.3</v>
      </c>
      <c r="B46" s="24" t="s">
        <v>19</v>
      </c>
      <c r="C46" s="5" t="s">
        <v>7</v>
      </c>
      <c r="D46" s="11">
        <v>54.84</v>
      </c>
      <c r="E46" s="37">
        <f>262.35*0.8</f>
        <v>209.88000000000002</v>
      </c>
      <c r="F46" s="43">
        <f t="shared" si="1"/>
        <v>11509.819200000002</v>
      </c>
      <c r="G46" s="38"/>
      <c r="H46" s="77"/>
      <c r="I46" s="83"/>
      <c r="J46" s="66"/>
      <c r="K46" s="65"/>
      <c r="L46" s="65"/>
      <c r="M46" s="65"/>
    </row>
    <row r="47" spans="1:13" s="2" customFormat="1" ht="12.75">
      <c r="A47" s="104">
        <v>3.4</v>
      </c>
      <c r="B47" s="105" t="s">
        <v>93</v>
      </c>
      <c r="C47" s="110" t="s">
        <v>7</v>
      </c>
      <c r="D47" s="111">
        <v>17.36</v>
      </c>
      <c r="E47" s="112">
        <v>326</v>
      </c>
      <c r="F47" s="114">
        <f t="shared" si="1"/>
        <v>5659.36</v>
      </c>
      <c r="G47" s="109"/>
      <c r="H47" s="77"/>
      <c r="I47" s="78"/>
      <c r="J47" s="66"/>
      <c r="K47" s="65"/>
      <c r="L47" s="65"/>
      <c r="M47" s="65"/>
    </row>
    <row r="48" spans="1:13" s="2" customFormat="1" ht="12.75">
      <c r="A48" s="104">
        <v>3.5</v>
      </c>
      <c r="B48" s="105" t="s">
        <v>73</v>
      </c>
      <c r="C48" s="110" t="s">
        <v>7</v>
      </c>
      <c r="D48" s="111">
        <v>8.3</v>
      </c>
      <c r="E48" s="112">
        <v>262.53</v>
      </c>
      <c r="F48" s="114">
        <f t="shared" si="1"/>
        <v>2178.999</v>
      </c>
      <c r="G48" s="109"/>
      <c r="H48" s="65"/>
      <c r="I48" s="76"/>
      <c r="J48" s="65"/>
      <c r="K48" s="65"/>
      <c r="L48" s="65"/>
      <c r="M48" s="65"/>
    </row>
    <row r="49" spans="1:13" s="2" customFormat="1" ht="12.75">
      <c r="A49" s="104">
        <v>3.6</v>
      </c>
      <c r="B49" s="105" t="s">
        <v>12</v>
      </c>
      <c r="C49" s="110" t="s">
        <v>7</v>
      </c>
      <c r="D49" s="111">
        <v>132.327</v>
      </c>
      <c r="E49" s="112">
        <f>427.3*1.6</f>
        <v>683.6800000000001</v>
      </c>
      <c r="F49" s="114">
        <f t="shared" si="1"/>
        <v>90469.32336000001</v>
      </c>
      <c r="G49" s="109"/>
      <c r="H49" s="76">
        <f>427.3*1.6</f>
        <v>683.6800000000001</v>
      </c>
      <c r="J49" s="65"/>
      <c r="K49" s="65"/>
      <c r="L49" s="65"/>
      <c r="M49" s="65"/>
    </row>
    <row r="50" spans="1:7" s="2" customFormat="1" ht="12.75">
      <c r="A50" s="30">
        <v>3.7</v>
      </c>
      <c r="B50" s="24" t="s">
        <v>177</v>
      </c>
      <c r="C50" s="5" t="s">
        <v>14</v>
      </c>
      <c r="D50" s="11">
        <v>54.84</v>
      </c>
      <c r="E50" s="37">
        <v>270.6</v>
      </c>
      <c r="F50" s="43">
        <f t="shared" si="1"/>
        <v>14839.704000000002</v>
      </c>
      <c r="G50" s="38"/>
    </row>
    <row r="51" spans="1:7" s="2" customFormat="1" ht="12.75">
      <c r="A51" s="30">
        <v>3.8</v>
      </c>
      <c r="B51" s="24" t="s">
        <v>16</v>
      </c>
      <c r="C51" s="5" t="s">
        <v>7</v>
      </c>
      <c r="D51" s="11">
        <v>81.55</v>
      </c>
      <c r="E51" s="37">
        <f>125.4*0.8</f>
        <v>100.32000000000001</v>
      </c>
      <c r="F51" s="43">
        <f t="shared" si="1"/>
        <v>8181.0960000000005</v>
      </c>
      <c r="G51" s="38"/>
    </row>
    <row r="52" spans="1:7" s="2" customFormat="1" ht="12.75">
      <c r="A52" s="30"/>
      <c r="B52" s="55"/>
      <c r="C52" s="5"/>
      <c r="D52" s="11"/>
      <c r="E52" s="37"/>
      <c r="F52" s="37"/>
      <c r="G52" s="38"/>
    </row>
    <row r="53" spans="1:9" s="2" customFormat="1" ht="12.75">
      <c r="A53" s="85" t="s">
        <v>55</v>
      </c>
      <c r="B53" s="23" t="s">
        <v>74</v>
      </c>
      <c r="C53" s="8"/>
      <c r="D53" s="62"/>
      <c r="E53" s="35"/>
      <c r="F53" s="35"/>
      <c r="G53" s="36">
        <f>SUM(F54:F55)</f>
        <v>48085.839</v>
      </c>
      <c r="I53" s="48"/>
    </row>
    <row r="54" spans="1:9" s="2" customFormat="1" ht="12.75">
      <c r="A54" s="116" t="s">
        <v>56</v>
      </c>
      <c r="B54" s="117" t="s">
        <v>94</v>
      </c>
      <c r="C54" s="118" t="s">
        <v>7</v>
      </c>
      <c r="D54" s="119">
        <v>2.01</v>
      </c>
      <c r="E54" s="120">
        <v>603.9</v>
      </c>
      <c r="F54" s="121">
        <f>D54*E54</f>
        <v>1213.8389999999997</v>
      </c>
      <c r="G54" s="122"/>
      <c r="I54" s="48"/>
    </row>
    <row r="55" spans="1:9" s="2" customFormat="1" ht="12.75">
      <c r="A55" s="104" t="s">
        <v>57</v>
      </c>
      <c r="B55" s="105" t="s">
        <v>142</v>
      </c>
      <c r="C55" s="110" t="s">
        <v>7</v>
      </c>
      <c r="D55" s="111">
        <v>62</v>
      </c>
      <c r="E55" s="112">
        <v>756</v>
      </c>
      <c r="F55" s="114">
        <f>D55*E55</f>
        <v>46872</v>
      </c>
      <c r="G55" s="109"/>
      <c r="I55" s="48"/>
    </row>
    <row r="56" spans="1:7" s="2" customFormat="1" ht="12.75">
      <c r="A56" s="30"/>
      <c r="B56" s="24"/>
      <c r="C56" s="5"/>
      <c r="D56" s="11"/>
      <c r="E56" s="37"/>
      <c r="F56" s="37"/>
      <c r="G56" s="38"/>
    </row>
    <row r="57" spans="1:8" s="2" customFormat="1" ht="12.75">
      <c r="A57" s="84" t="s">
        <v>58</v>
      </c>
      <c r="B57" s="86" t="s">
        <v>13</v>
      </c>
      <c r="C57" s="8"/>
      <c r="D57" s="62"/>
      <c r="E57" s="35"/>
      <c r="F57" s="35"/>
      <c r="G57" s="36">
        <f>SUM(F58:F59)</f>
        <v>540902.72</v>
      </c>
      <c r="H57" s="88"/>
    </row>
    <row r="58" spans="1:9" s="2" customFormat="1" ht="12.75">
      <c r="A58" s="123" t="s">
        <v>59</v>
      </c>
      <c r="B58" s="105" t="s">
        <v>130</v>
      </c>
      <c r="C58" s="110" t="s">
        <v>14</v>
      </c>
      <c r="D58" s="111">
        <v>243.25</v>
      </c>
      <c r="E58" s="112">
        <v>1520</v>
      </c>
      <c r="F58" s="114">
        <f>D58*E58</f>
        <v>369740</v>
      </c>
      <c r="G58" s="109"/>
      <c r="H58" s="2">
        <f>950*1.6</f>
        <v>1520</v>
      </c>
      <c r="I58" s="48"/>
    </row>
    <row r="59" spans="1:9" s="2" customFormat="1" ht="12.75">
      <c r="A59" s="123" t="s">
        <v>60</v>
      </c>
      <c r="B59" s="105" t="s">
        <v>143</v>
      </c>
      <c r="C59" s="110" t="s">
        <v>14</v>
      </c>
      <c r="D59" s="111">
        <v>1056.56</v>
      </c>
      <c r="E59" s="112">
        <v>162</v>
      </c>
      <c r="F59" s="114">
        <f>D59*E59</f>
        <v>171162.72</v>
      </c>
      <c r="G59" s="109"/>
      <c r="H59" s="2">
        <f>281*1.6</f>
        <v>449.6</v>
      </c>
      <c r="I59" s="48"/>
    </row>
    <row r="60" spans="1:9" s="2" customFormat="1" ht="12.75">
      <c r="A60" s="31"/>
      <c r="B60" s="24"/>
      <c r="C60" s="5"/>
      <c r="D60" s="11"/>
      <c r="E60" s="37"/>
      <c r="F60" s="47"/>
      <c r="G60" s="38"/>
      <c r="I60" s="48"/>
    </row>
    <row r="61" spans="1:9" s="2" customFormat="1" ht="12.75">
      <c r="A61" s="84" t="s">
        <v>61</v>
      </c>
      <c r="B61" s="23" t="s">
        <v>76</v>
      </c>
      <c r="C61" s="8" t="s">
        <v>133</v>
      </c>
      <c r="D61" s="62">
        <v>1</v>
      </c>
      <c r="E61" s="35"/>
      <c r="F61" s="35"/>
      <c r="G61" s="36">
        <f>SUM(F62:F76)</f>
        <v>1050304.58</v>
      </c>
      <c r="I61" s="48"/>
    </row>
    <row r="62" spans="1:9" s="2" customFormat="1" ht="15">
      <c r="A62" s="124" t="s">
        <v>148</v>
      </c>
      <c r="B62" s="125" t="s">
        <v>170</v>
      </c>
      <c r="C62" s="110" t="s">
        <v>171</v>
      </c>
      <c r="D62" s="111">
        <v>1</v>
      </c>
      <c r="E62" s="112">
        <v>8623.71</v>
      </c>
      <c r="F62" s="114">
        <f aca="true" t="shared" si="2" ref="F62:F73">D62*E62</f>
        <v>8623.71</v>
      </c>
      <c r="G62" s="115"/>
      <c r="H62" s="99"/>
      <c r="I62"/>
    </row>
    <row r="63" spans="1:9" s="2" customFormat="1" ht="15">
      <c r="A63" s="90" t="s">
        <v>149</v>
      </c>
      <c r="B63" s="55" t="s">
        <v>174</v>
      </c>
      <c r="C63" s="5" t="s">
        <v>171</v>
      </c>
      <c r="D63" s="11">
        <v>49</v>
      </c>
      <c r="E63" s="37">
        <v>3350</v>
      </c>
      <c r="F63" s="37">
        <f t="shared" si="2"/>
        <v>164150</v>
      </c>
      <c r="G63" s="70"/>
      <c r="H63" s="99"/>
      <c r="I63"/>
    </row>
    <row r="64" spans="1:9" s="2" customFormat="1" ht="12.75">
      <c r="A64" s="92" t="s">
        <v>150</v>
      </c>
      <c r="B64" s="93" t="s">
        <v>159</v>
      </c>
      <c r="C64" s="94"/>
      <c r="D64" s="95"/>
      <c r="E64" s="96"/>
      <c r="F64" s="97"/>
      <c r="G64" s="98"/>
      <c r="H64" s="71"/>
      <c r="I64" s="100"/>
    </row>
    <row r="65" spans="1:9" s="2" customFormat="1" ht="12.75">
      <c r="A65" s="90" t="s">
        <v>175</v>
      </c>
      <c r="B65" s="125" t="s">
        <v>160</v>
      </c>
      <c r="C65" s="110" t="s">
        <v>171</v>
      </c>
      <c r="D65" s="111">
        <f>29+57</f>
        <v>86</v>
      </c>
      <c r="E65" s="112">
        <v>756</v>
      </c>
      <c r="F65" s="114">
        <f t="shared" si="2"/>
        <v>65016</v>
      </c>
      <c r="G65" s="115"/>
      <c r="H65" s="71"/>
      <c r="I65" s="65"/>
    </row>
    <row r="66" spans="1:9" s="2" customFormat="1" ht="12.75">
      <c r="A66" s="90" t="s">
        <v>176</v>
      </c>
      <c r="B66" s="125" t="s">
        <v>161</v>
      </c>
      <c r="C66" s="110" t="s">
        <v>171</v>
      </c>
      <c r="D66" s="111">
        <v>57</v>
      </c>
      <c r="E66" s="112">
        <v>893.45</v>
      </c>
      <c r="F66" s="114">
        <f t="shared" si="2"/>
        <v>50926.65</v>
      </c>
      <c r="G66" s="115"/>
      <c r="H66" s="71"/>
      <c r="I66" s="101"/>
    </row>
    <row r="67" spans="1:9" s="2" customFormat="1" ht="12.75">
      <c r="A67" s="90" t="s">
        <v>151</v>
      </c>
      <c r="B67" s="125" t="s">
        <v>164</v>
      </c>
      <c r="C67" s="110" t="s">
        <v>171</v>
      </c>
      <c r="D67" s="111">
        <v>33</v>
      </c>
      <c r="E67" s="112">
        <v>1512</v>
      </c>
      <c r="F67" s="114">
        <f t="shared" si="2"/>
        <v>49896</v>
      </c>
      <c r="G67" s="115"/>
      <c r="H67" s="91"/>
      <c r="I67" s="101"/>
    </row>
    <row r="68" spans="1:9" s="2" customFormat="1" ht="12.75">
      <c r="A68" s="90" t="s">
        <v>152</v>
      </c>
      <c r="B68" s="55" t="s">
        <v>165</v>
      </c>
      <c r="C68" s="126" t="s">
        <v>171</v>
      </c>
      <c r="D68" s="127">
        <v>10</v>
      </c>
      <c r="E68" s="37">
        <v>3500</v>
      </c>
      <c r="F68" s="37">
        <f t="shared" si="2"/>
        <v>35000</v>
      </c>
      <c r="G68" s="70"/>
      <c r="H68" s="91"/>
      <c r="I68" s="101"/>
    </row>
    <row r="69" spans="1:9" s="2" customFormat="1" ht="12.75">
      <c r="A69" s="90" t="s">
        <v>153</v>
      </c>
      <c r="B69" s="55" t="s">
        <v>166</v>
      </c>
      <c r="C69" s="126" t="s">
        <v>171</v>
      </c>
      <c r="D69" s="127">
        <v>5</v>
      </c>
      <c r="E69" s="37">
        <v>2268</v>
      </c>
      <c r="F69" s="37">
        <f t="shared" si="2"/>
        <v>11340</v>
      </c>
      <c r="G69" s="70"/>
      <c r="H69" s="91" t="s">
        <v>179</v>
      </c>
      <c r="I69" s="101"/>
    </row>
    <row r="70" spans="1:9" s="2" customFormat="1" ht="12.75">
      <c r="A70" s="90" t="s">
        <v>154</v>
      </c>
      <c r="B70" s="55" t="s">
        <v>167</v>
      </c>
      <c r="C70" s="126" t="s">
        <v>171</v>
      </c>
      <c r="D70" s="127">
        <v>15</v>
      </c>
      <c r="E70" s="37">
        <v>3650</v>
      </c>
      <c r="F70" s="43">
        <f t="shared" si="2"/>
        <v>54750</v>
      </c>
      <c r="G70" s="70"/>
      <c r="H70" s="71"/>
      <c r="I70" s="101"/>
    </row>
    <row r="71" spans="1:9" s="2" customFormat="1" ht="12.75">
      <c r="A71" s="90" t="s">
        <v>155</v>
      </c>
      <c r="B71" s="125" t="s">
        <v>168</v>
      </c>
      <c r="C71" s="110" t="s">
        <v>171</v>
      </c>
      <c r="D71" s="111">
        <v>17</v>
      </c>
      <c r="E71" s="112">
        <v>1200</v>
      </c>
      <c r="F71" s="114">
        <f t="shared" si="2"/>
        <v>20400</v>
      </c>
      <c r="G71" s="115"/>
      <c r="H71" s="71"/>
      <c r="I71" s="101"/>
    </row>
    <row r="72" spans="1:9" s="2" customFormat="1" ht="12.75">
      <c r="A72" s="90" t="s">
        <v>156</v>
      </c>
      <c r="B72" s="55" t="s">
        <v>169</v>
      </c>
      <c r="C72" s="126" t="s">
        <v>171</v>
      </c>
      <c r="D72" s="11">
        <v>2</v>
      </c>
      <c r="E72" s="37">
        <v>2268</v>
      </c>
      <c r="F72" s="37">
        <f t="shared" si="2"/>
        <v>4536</v>
      </c>
      <c r="G72" s="70"/>
      <c r="H72" s="71"/>
      <c r="I72" s="101"/>
    </row>
    <row r="73" spans="1:9" s="2" customFormat="1" ht="12.75">
      <c r="A73" s="90" t="s">
        <v>178</v>
      </c>
      <c r="B73" s="125" t="s">
        <v>180</v>
      </c>
      <c r="C73" s="110" t="s">
        <v>172</v>
      </c>
      <c r="D73" s="111">
        <v>50</v>
      </c>
      <c r="E73" s="112">
        <v>7697</v>
      </c>
      <c r="F73" s="114">
        <f t="shared" si="2"/>
        <v>384850</v>
      </c>
      <c r="G73" s="115"/>
      <c r="H73" s="71"/>
      <c r="I73" s="101"/>
    </row>
    <row r="74" spans="1:9" s="2" customFormat="1" ht="12.75">
      <c r="A74" s="90" t="s">
        <v>157</v>
      </c>
      <c r="B74" s="125" t="s">
        <v>162</v>
      </c>
      <c r="C74" s="110" t="s">
        <v>4</v>
      </c>
      <c r="D74" s="111">
        <f>48+27+11</f>
        <v>86</v>
      </c>
      <c r="E74" s="112">
        <v>2199.27</v>
      </c>
      <c r="F74" s="114">
        <f>D74*E74</f>
        <v>189137.22</v>
      </c>
      <c r="G74" s="115"/>
      <c r="H74" s="71"/>
      <c r="I74" s="101"/>
    </row>
    <row r="75" spans="1:9" s="2" customFormat="1" ht="12.75">
      <c r="A75" s="90" t="s">
        <v>158</v>
      </c>
      <c r="B75" s="125" t="s">
        <v>163</v>
      </c>
      <c r="C75" s="110" t="s">
        <v>5</v>
      </c>
      <c r="D75" s="111">
        <v>1</v>
      </c>
      <c r="E75" s="128">
        <v>11679</v>
      </c>
      <c r="F75" s="114">
        <f>D75*E75</f>
        <v>11679</v>
      </c>
      <c r="G75" s="115"/>
      <c r="H75" s="71"/>
      <c r="I75" s="101"/>
    </row>
    <row r="76" spans="1:9" s="2" customFormat="1" ht="12.75">
      <c r="A76" s="90"/>
      <c r="B76" s="55"/>
      <c r="C76" s="5"/>
      <c r="D76" s="11"/>
      <c r="E76" s="37"/>
      <c r="F76" s="43"/>
      <c r="G76" s="70"/>
      <c r="H76" s="71"/>
      <c r="I76" s="101"/>
    </row>
    <row r="77" spans="1:9" s="2" customFormat="1" ht="12.75">
      <c r="A77" s="84" t="s">
        <v>62</v>
      </c>
      <c r="B77" s="23" t="s">
        <v>32</v>
      </c>
      <c r="C77" s="8"/>
      <c r="D77" s="62"/>
      <c r="E77" s="35"/>
      <c r="F77" s="35"/>
      <c r="G77" s="36">
        <f>SUM(F78:F89)</f>
        <v>2121124.65</v>
      </c>
      <c r="H77" s="91"/>
      <c r="I77" s="101"/>
    </row>
    <row r="78" spans="1:9" s="2" customFormat="1" ht="12.75">
      <c r="A78" s="104" t="s">
        <v>63</v>
      </c>
      <c r="B78" s="125" t="s">
        <v>139</v>
      </c>
      <c r="C78" s="110" t="s">
        <v>5</v>
      </c>
      <c r="D78" s="111">
        <v>1</v>
      </c>
      <c r="E78" s="112">
        <v>1838491</v>
      </c>
      <c r="F78" s="112">
        <f aca="true" t="shared" si="3" ref="F78:F88">D78*E78</f>
        <v>1838491</v>
      </c>
      <c r="G78" s="129"/>
      <c r="I78" s="74"/>
    </row>
    <row r="79" spans="1:9" s="2" customFormat="1" ht="12.75">
      <c r="A79" s="30" t="s">
        <v>64</v>
      </c>
      <c r="B79" s="55" t="s">
        <v>98</v>
      </c>
      <c r="C79" s="9" t="s">
        <v>6</v>
      </c>
      <c r="D79" s="11">
        <v>2</v>
      </c>
      <c r="E79" s="37">
        <v>7990</v>
      </c>
      <c r="F79" s="37">
        <f t="shared" si="3"/>
        <v>15980</v>
      </c>
      <c r="G79" s="70"/>
      <c r="I79" s="48"/>
    </row>
    <row r="80" spans="1:9" s="2" customFormat="1" ht="12.75">
      <c r="A80" s="104" t="s">
        <v>65</v>
      </c>
      <c r="B80" s="125" t="s">
        <v>99</v>
      </c>
      <c r="C80" s="130" t="s">
        <v>6</v>
      </c>
      <c r="D80" s="111">
        <v>12</v>
      </c>
      <c r="E80" s="112">
        <v>7574</v>
      </c>
      <c r="F80" s="112">
        <f t="shared" si="3"/>
        <v>90888</v>
      </c>
      <c r="G80" s="115"/>
      <c r="I80" s="48"/>
    </row>
    <row r="81" spans="1:9" s="2" customFormat="1" ht="12.75">
      <c r="A81" s="104" t="s">
        <v>66</v>
      </c>
      <c r="B81" s="125" t="s">
        <v>100</v>
      </c>
      <c r="C81" s="130" t="s">
        <v>6</v>
      </c>
      <c r="D81" s="111">
        <v>4</v>
      </c>
      <c r="E81" s="112">
        <v>14043</v>
      </c>
      <c r="F81" s="112">
        <f t="shared" si="3"/>
        <v>56172</v>
      </c>
      <c r="G81" s="115"/>
      <c r="I81" s="48"/>
    </row>
    <row r="82" spans="1:9" s="2" customFormat="1" ht="12.75">
      <c r="A82" s="104" t="s">
        <v>67</v>
      </c>
      <c r="B82" s="125" t="s">
        <v>131</v>
      </c>
      <c r="C82" s="130" t="s">
        <v>6</v>
      </c>
      <c r="D82" s="111">
        <v>2</v>
      </c>
      <c r="E82" s="112">
        <v>7226</v>
      </c>
      <c r="F82" s="112">
        <f t="shared" si="3"/>
        <v>14452</v>
      </c>
      <c r="G82" s="115"/>
      <c r="I82" s="48"/>
    </row>
    <row r="83" spans="1:10" s="2" customFormat="1" ht="12.75">
      <c r="A83" s="104" t="s">
        <v>68</v>
      </c>
      <c r="B83" s="125" t="s">
        <v>101</v>
      </c>
      <c r="C83" s="130" t="s">
        <v>6</v>
      </c>
      <c r="D83" s="111">
        <v>9</v>
      </c>
      <c r="E83" s="112">
        <v>1200</v>
      </c>
      <c r="F83" s="112">
        <f t="shared" si="3"/>
        <v>10800</v>
      </c>
      <c r="G83" s="115"/>
      <c r="H83" s="2" t="s">
        <v>183</v>
      </c>
      <c r="I83" s="48"/>
      <c r="J83" s="2" t="s">
        <v>184</v>
      </c>
    </row>
    <row r="84" spans="1:7" s="2" customFormat="1" ht="12.75">
      <c r="A84" s="30" t="s">
        <v>134</v>
      </c>
      <c r="B84" s="55" t="s">
        <v>102</v>
      </c>
      <c r="C84" s="9" t="s">
        <v>6</v>
      </c>
      <c r="D84" s="11">
        <v>3</v>
      </c>
      <c r="E84" s="37">
        <v>4398.55</v>
      </c>
      <c r="F84" s="37">
        <f t="shared" si="3"/>
        <v>13195.650000000001</v>
      </c>
      <c r="G84" s="70"/>
    </row>
    <row r="85" spans="1:9" s="2" customFormat="1" ht="12.75">
      <c r="A85" s="30" t="s">
        <v>135</v>
      </c>
      <c r="B85" s="55" t="s">
        <v>103</v>
      </c>
      <c r="C85" s="9" t="s">
        <v>6</v>
      </c>
      <c r="D85" s="11">
        <v>9</v>
      </c>
      <c r="E85" s="37">
        <v>2620</v>
      </c>
      <c r="F85" s="37">
        <f t="shared" si="3"/>
        <v>23580</v>
      </c>
      <c r="G85" s="70"/>
      <c r="I85" s="48"/>
    </row>
    <row r="86" spans="1:9" s="2" customFormat="1" ht="12.75">
      <c r="A86" s="30" t="s">
        <v>136</v>
      </c>
      <c r="B86" s="55" t="s">
        <v>104</v>
      </c>
      <c r="C86" s="9" t="s">
        <v>6</v>
      </c>
      <c r="D86" s="11">
        <v>9</v>
      </c>
      <c r="E86" s="37">
        <v>3954</v>
      </c>
      <c r="F86" s="37">
        <f t="shared" si="3"/>
        <v>35586</v>
      </c>
      <c r="G86" s="70"/>
      <c r="I86" s="48"/>
    </row>
    <row r="87" spans="1:9" s="2" customFormat="1" ht="14.25" customHeight="1">
      <c r="A87" s="104" t="s">
        <v>137</v>
      </c>
      <c r="B87" s="125" t="s">
        <v>105</v>
      </c>
      <c r="C87" s="130" t="s">
        <v>6</v>
      </c>
      <c r="D87" s="111">
        <v>10</v>
      </c>
      <c r="E87" s="112">
        <v>1099</v>
      </c>
      <c r="F87" s="112">
        <f t="shared" si="3"/>
        <v>10990</v>
      </c>
      <c r="G87" s="131"/>
      <c r="I87" s="48"/>
    </row>
    <row r="88" spans="1:9" s="2" customFormat="1" ht="12.75">
      <c r="A88" s="30" t="s">
        <v>138</v>
      </c>
      <c r="B88" s="55" t="s">
        <v>106</v>
      </c>
      <c r="C88" s="9" t="s">
        <v>6</v>
      </c>
      <c r="D88" s="11">
        <v>10</v>
      </c>
      <c r="E88" s="37">
        <v>1099</v>
      </c>
      <c r="F88" s="37">
        <f t="shared" si="3"/>
        <v>10990</v>
      </c>
      <c r="G88" s="70"/>
      <c r="I88" s="48"/>
    </row>
    <row r="89" spans="1:9" s="2" customFormat="1" ht="12.75">
      <c r="A89" s="30"/>
      <c r="B89" s="24"/>
      <c r="C89" s="5"/>
      <c r="D89" s="11"/>
      <c r="E89" s="37"/>
      <c r="F89" s="37"/>
      <c r="G89" s="38"/>
      <c r="I89" s="48"/>
    </row>
    <row r="90" spans="1:9" s="2" customFormat="1" ht="12.75">
      <c r="A90" s="84" t="s">
        <v>69</v>
      </c>
      <c r="B90" s="23" t="s">
        <v>78</v>
      </c>
      <c r="C90" s="8"/>
      <c r="D90" s="62"/>
      <c r="E90" s="35"/>
      <c r="F90" s="35"/>
      <c r="G90" s="36">
        <f>SUM(F91:F94)</f>
        <v>159999</v>
      </c>
      <c r="I90" s="48"/>
    </row>
    <row r="91" spans="1:9" s="2" customFormat="1" ht="12.75">
      <c r="A91" s="30" t="s">
        <v>110</v>
      </c>
      <c r="B91" s="55" t="s">
        <v>173</v>
      </c>
      <c r="C91" s="9" t="s">
        <v>171</v>
      </c>
      <c r="D91" s="11">
        <v>1</v>
      </c>
      <c r="E91" s="37">
        <v>6000</v>
      </c>
      <c r="F91" s="54">
        <f>D91*E91</f>
        <v>6000</v>
      </c>
      <c r="G91" s="38"/>
      <c r="H91" s="52"/>
      <c r="I91" s="53"/>
    </row>
    <row r="92" spans="1:9" s="2" customFormat="1" ht="12.75">
      <c r="A92" s="104" t="s">
        <v>111</v>
      </c>
      <c r="B92" s="125" t="s">
        <v>107</v>
      </c>
      <c r="C92" s="130" t="s">
        <v>6</v>
      </c>
      <c r="D92" s="111">
        <v>18</v>
      </c>
      <c r="E92" s="112">
        <v>3000</v>
      </c>
      <c r="F92" s="108">
        <f>D92*E92</f>
        <v>54000</v>
      </c>
      <c r="G92" s="109"/>
      <c r="H92" s="52"/>
      <c r="I92" s="53"/>
    </row>
    <row r="93" spans="1:9" s="2" customFormat="1" ht="12.75">
      <c r="A93" s="104" t="s">
        <v>112</v>
      </c>
      <c r="B93" s="125" t="s">
        <v>182</v>
      </c>
      <c r="C93" s="130" t="s">
        <v>6</v>
      </c>
      <c r="D93" s="111">
        <v>19</v>
      </c>
      <c r="E93" s="112">
        <v>3421</v>
      </c>
      <c r="F93" s="108">
        <f>D93*E93</f>
        <v>64999</v>
      </c>
      <c r="G93" s="109"/>
      <c r="H93" s="52"/>
      <c r="I93" s="53"/>
    </row>
    <row r="94" spans="1:9" s="2" customFormat="1" ht="12" customHeight="1">
      <c r="A94" s="104" t="s">
        <v>112</v>
      </c>
      <c r="B94" s="125" t="s">
        <v>108</v>
      </c>
      <c r="C94" s="130" t="s">
        <v>6</v>
      </c>
      <c r="D94" s="111">
        <v>10</v>
      </c>
      <c r="E94" s="112">
        <v>3500</v>
      </c>
      <c r="F94" s="108">
        <f>D94*E94</f>
        <v>35000</v>
      </c>
      <c r="G94" s="109"/>
      <c r="H94" s="87"/>
      <c r="I94" s="53"/>
    </row>
    <row r="95" spans="1:7" s="2" customFormat="1" ht="12.75">
      <c r="A95" s="30"/>
      <c r="B95" s="25"/>
      <c r="C95" s="9"/>
      <c r="D95" s="11"/>
      <c r="E95" s="37"/>
      <c r="F95" s="37"/>
      <c r="G95" s="38"/>
    </row>
    <row r="96" spans="1:7" s="2" customFormat="1" ht="12.75">
      <c r="A96" s="84" t="s">
        <v>70</v>
      </c>
      <c r="B96" s="23" t="s">
        <v>8</v>
      </c>
      <c r="C96" s="8"/>
      <c r="D96" s="62"/>
      <c r="E96" s="35"/>
      <c r="F96" s="35"/>
      <c r="G96" s="36">
        <f>SUM(F97:F101)</f>
        <v>415823.86471</v>
      </c>
    </row>
    <row r="97" spans="1:9" s="2" customFormat="1" ht="12.75">
      <c r="A97" s="104" t="s">
        <v>113</v>
      </c>
      <c r="B97" s="125" t="s">
        <v>144</v>
      </c>
      <c r="C97" s="110" t="s">
        <v>7</v>
      </c>
      <c r="D97" s="111">
        <v>1692</v>
      </c>
      <c r="E97" s="112">
        <v>193.07</v>
      </c>
      <c r="F97" s="108">
        <f>D97*E97</f>
        <v>326674.44</v>
      </c>
      <c r="G97" s="109"/>
      <c r="I97" s="88"/>
    </row>
    <row r="98" spans="1:7" s="2" customFormat="1" ht="12.75">
      <c r="A98" s="116" t="s">
        <v>114</v>
      </c>
      <c r="B98" s="132" t="s">
        <v>145</v>
      </c>
      <c r="C98" s="118" t="s">
        <v>7</v>
      </c>
      <c r="D98" s="119">
        <v>198.75</v>
      </c>
      <c r="E98" s="120">
        <v>250</v>
      </c>
      <c r="F98" s="133">
        <f>D98*E98</f>
        <v>49687.5</v>
      </c>
      <c r="G98" s="122"/>
    </row>
    <row r="99" spans="1:7" s="2" customFormat="1" ht="12.75">
      <c r="A99" s="104" t="s">
        <v>115</v>
      </c>
      <c r="B99" s="125" t="s">
        <v>146</v>
      </c>
      <c r="C99" s="110" t="s">
        <v>7</v>
      </c>
      <c r="D99" s="111">
        <v>91.907</v>
      </c>
      <c r="E99" s="112">
        <v>202.53</v>
      </c>
      <c r="F99" s="108">
        <f>D99*E99</f>
        <v>18613.92471</v>
      </c>
      <c r="G99" s="109"/>
    </row>
    <row r="100" spans="1:8" s="2" customFormat="1" ht="12.75">
      <c r="A100" s="30">
        <v>9.4</v>
      </c>
      <c r="B100" s="26" t="s">
        <v>147</v>
      </c>
      <c r="C100" s="5" t="s">
        <v>7</v>
      </c>
      <c r="D100" s="11">
        <v>104.24</v>
      </c>
      <c r="E100" s="37">
        <v>200</v>
      </c>
      <c r="F100" s="37">
        <f>D100*E100</f>
        <v>20848</v>
      </c>
      <c r="G100" s="38"/>
      <c r="H100" s="88"/>
    </row>
    <row r="101" spans="1:7" s="2" customFormat="1" ht="12.75">
      <c r="A101" s="30"/>
      <c r="B101" s="26"/>
      <c r="C101" s="5"/>
      <c r="D101" s="11"/>
      <c r="E101" s="37"/>
      <c r="F101" s="37"/>
      <c r="G101" s="38"/>
    </row>
    <row r="102" spans="1:7" ht="12.75">
      <c r="A102" s="84" t="s">
        <v>71</v>
      </c>
      <c r="B102" s="23" t="s">
        <v>124</v>
      </c>
      <c r="C102" s="8"/>
      <c r="D102" s="62"/>
      <c r="E102" s="35"/>
      <c r="F102" s="35"/>
      <c r="G102" s="36">
        <f>SUM(F103:F106)</f>
        <v>108356.45</v>
      </c>
    </row>
    <row r="103" spans="1:7" ht="12.75">
      <c r="A103" s="30" t="s">
        <v>116</v>
      </c>
      <c r="B103" s="26" t="s">
        <v>109</v>
      </c>
      <c r="C103" s="9" t="s">
        <v>4</v>
      </c>
      <c r="D103" s="11">
        <f>17.86+6.41</f>
        <v>24.27</v>
      </c>
      <c r="E103" s="37">
        <v>4135</v>
      </c>
      <c r="F103" s="37">
        <f>D103*E103</f>
        <v>100356.45</v>
      </c>
      <c r="G103" s="38"/>
    </row>
    <row r="104" spans="1:7" ht="12.75">
      <c r="A104" s="30" t="s">
        <v>125</v>
      </c>
      <c r="B104" s="26" t="s">
        <v>95</v>
      </c>
      <c r="C104" s="9" t="s">
        <v>6</v>
      </c>
      <c r="D104" s="11">
        <v>1</v>
      </c>
      <c r="E104" s="37">
        <v>5000</v>
      </c>
      <c r="F104" s="37">
        <f>D104*E104</f>
        <v>5000</v>
      </c>
      <c r="G104" s="38"/>
    </row>
    <row r="105" spans="1:7" ht="12.75">
      <c r="A105" s="30" t="s">
        <v>126</v>
      </c>
      <c r="B105" s="26" t="s">
        <v>132</v>
      </c>
      <c r="C105" s="9" t="s">
        <v>6</v>
      </c>
      <c r="D105" s="11">
        <v>1</v>
      </c>
      <c r="E105" s="37">
        <v>3000</v>
      </c>
      <c r="F105" s="37">
        <f>D105*E105</f>
        <v>3000</v>
      </c>
      <c r="G105" s="38"/>
    </row>
    <row r="106" spans="1:7" ht="12.75">
      <c r="A106" s="30"/>
      <c r="B106" s="71"/>
      <c r="C106" s="5"/>
      <c r="D106" s="11"/>
      <c r="E106" s="37"/>
      <c r="F106" s="37"/>
      <c r="G106" s="38"/>
    </row>
    <row r="107" spans="1:7" ht="12.75">
      <c r="A107" s="84" t="s">
        <v>72</v>
      </c>
      <c r="B107" s="23" t="s">
        <v>9</v>
      </c>
      <c r="C107" s="8"/>
      <c r="D107" s="62"/>
      <c r="E107" s="35"/>
      <c r="F107" s="35"/>
      <c r="G107" s="36">
        <f>SUM(F108:F111)</f>
        <v>63145.2852</v>
      </c>
    </row>
    <row r="108" spans="1:8" ht="12.75">
      <c r="A108" s="104" t="s">
        <v>127</v>
      </c>
      <c r="B108" s="125" t="s">
        <v>96</v>
      </c>
      <c r="C108" s="110" t="s">
        <v>7</v>
      </c>
      <c r="D108" s="111">
        <v>8.76</v>
      </c>
      <c r="E108" s="112">
        <v>2075.52</v>
      </c>
      <c r="F108" s="112">
        <f>D108*E108</f>
        <v>18181.5552</v>
      </c>
      <c r="G108" s="109"/>
      <c r="H108" s="1">
        <f>1297.2*1.6</f>
        <v>2075.52</v>
      </c>
    </row>
    <row r="109" spans="1:8" ht="12.75">
      <c r="A109" s="30" t="s">
        <v>128</v>
      </c>
      <c r="B109" s="26" t="s">
        <v>97</v>
      </c>
      <c r="C109" s="5" t="s">
        <v>7</v>
      </c>
      <c r="D109" s="11">
        <v>1.9</v>
      </c>
      <c r="E109" s="37">
        <v>979.2</v>
      </c>
      <c r="F109" s="37">
        <f>D109*E109</f>
        <v>1860.48</v>
      </c>
      <c r="G109" s="38"/>
      <c r="H109" s="1">
        <f>612*1.6</f>
        <v>979.2</v>
      </c>
    </row>
    <row r="110" spans="1:7" ht="12.75">
      <c r="A110" s="30" t="s">
        <v>129</v>
      </c>
      <c r="B110" s="26" t="s">
        <v>140</v>
      </c>
      <c r="C110" s="5" t="s">
        <v>22</v>
      </c>
      <c r="D110" s="11">
        <v>75</v>
      </c>
      <c r="E110" s="37">
        <v>574.71</v>
      </c>
      <c r="F110" s="37">
        <f>D110*E110</f>
        <v>43103.25</v>
      </c>
      <c r="G110" s="38"/>
    </row>
    <row r="111" spans="1:7" ht="13.5" thickBot="1">
      <c r="A111" s="40"/>
      <c r="B111" s="56"/>
      <c r="C111" s="41"/>
      <c r="D111" s="42"/>
      <c r="E111" s="43"/>
      <c r="F111" s="43"/>
      <c r="G111" s="44"/>
    </row>
    <row r="112" spans="1:7" ht="13.5" thickBot="1">
      <c r="A112" s="45"/>
      <c r="B112" s="300" t="s">
        <v>10</v>
      </c>
      <c r="C112" s="301"/>
      <c r="D112" s="301"/>
      <c r="E112" s="301"/>
      <c r="F112" s="338"/>
      <c r="G112" s="46">
        <f>SUM(G18:G111)</f>
        <v>4998259.020436</v>
      </c>
    </row>
    <row r="113" spans="1:7" ht="13.5" thickBot="1">
      <c r="A113" s="103"/>
      <c r="G113" s="39" t="s">
        <v>17</v>
      </c>
    </row>
    <row r="114" spans="2:7" ht="13.5" thickBot="1">
      <c r="B114" s="69"/>
      <c r="G114" s="46">
        <f>G112*0.8</f>
        <v>3998607.2163488003</v>
      </c>
    </row>
    <row r="116" ht="12.75">
      <c r="B116" s="69"/>
    </row>
    <row r="117" ht="12.75">
      <c r="H117" s="69"/>
    </row>
    <row r="132" ht="12.75">
      <c r="B132" s="57"/>
    </row>
    <row r="133" spans="1:2" ht="12.75">
      <c r="A133" s="20"/>
      <c r="B133" s="58"/>
    </row>
    <row r="134" spans="1:2" ht="12.75">
      <c r="A134" s="20"/>
      <c r="B134" s="58"/>
    </row>
    <row r="135" spans="1:2" ht="12.75">
      <c r="A135" s="20"/>
      <c r="B135" s="58"/>
    </row>
    <row r="136" spans="1:2" ht="12.75">
      <c r="A136" s="20"/>
      <c r="B136" s="58"/>
    </row>
    <row r="137" spans="1:2" ht="12.75">
      <c r="A137" s="20"/>
      <c r="B137" s="58"/>
    </row>
    <row r="138" spans="1:2" ht="12.75">
      <c r="A138" s="20"/>
      <c r="B138" s="58"/>
    </row>
    <row r="139" spans="1:2" ht="12.75">
      <c r="A139" s="20"/>
      <c r="B139" s="58"/>
    </row>
    <row r="140" spans="1:2" ht="12.75">
      <c r="A140" s="20"/>
      <c r="B140" s="58"/>
    </row>
    <row r="141" spans="1:2" ht="12.75">
      <c r="A141" s="20"/>
      <c r="B141" s="59"/>
    </row>
    <row r="142" spans="1:2" ht="12.75">
      <c r="A142" s="20"/>
      <c r="B142" s="59"/>
    </row>
    <row r="143" spans="1:2" ht="12.75">
      <c r="A143" s="20"/>
      <c r="B143" s="59"/>
    </row>
    <row r="144" spans="1:2" ht="12.75">
      <c r="A144" s="20"/>
      <c r="B144" s="59"/>
    </row>
    <row r="145" spans="1:2" ht="12.75">
      <c r="A145" s="20"/>
      <c r="B145" s="59"/>
    </row>
    <row r="146" spans="1:2" ht="12.75">
      <c r="A146" s="20"/>
      <c r="B146" s="59"/>
    </row>
    <row r="147" spans="1:2" ht="12.75">
      <c r="A147" s="20"/>
      <c r="B147" s="59"/>
    </row>
    <row r="148" spans="1:2" ht="12.75">
      <c r="A148" s="20"/>
      <c r="B148" s="59"/>
    </row>
    <row r="149" spans="1:2" ht="12.75">
      <c r="A149" s="20"/>
      <c r="B149" s="59"/>
    </row>
    <row r="150" spans="1:2" ht="12.75">
      <c r="A150" s="20"/>
      <c r="B150" s="59"/>
    </row>
    <row r="151" spans="1:2" ht="12.75">
      <c r="A151" s="20"/>
      <c r="B151" s="59"/>
    </row>
    <row r="152" spans="1:2" ht="12.75">
      <c r="A152" s="20"/>
      <c r="B152" s="59"/>
    </row>
    <row r="153" spans="1:2" ht="12.75">
      <c r="A153" s="20"/>
      <c r="B153" s="59"/>
    </row>
    <row r="154" spans="1:2" ht="12.75">
      <c r="A154" s="20"/>
      <c r="B154" s="60"/>
    </row>
    <row r="155" spans="1:2" ht="12.75">
      <c r="A155" s="20"/>
      <c r="B155" s="60"/>
    </row>
    <row r="156" ht="12.75">
      <c r="A156" s="21"/>
    </row>
  </sheetData>
  <sheetProtection/>
  <mergeCells count="18">
    <mergeCell ref="A14:B14"/>
    <mergeCell ref="C14:G14"/>
    <mergeCell ref="A15:B15"/>
    <mergeCell ref="C15:G15"/>
    <mergeCell ref="B112:F112"/>
    <mergeCell ref="A1:G1"/>
    <mergeCell ref="A2:G2"/>
    <mergeCell ref="A3:G3"/>
    <mergeCell ref="A4:G4"/>
    <mergeCell ref="A5:G5"/>
    <mergeCell ref="A11:G11"/>
    <mergeCell ref="A12:G12"/>
    <mergeCell ref="A13:G13"/>
    <mergeCell ref="A6:G6"/>
    <mergeCell ref="A7:G7"/>
    <mergeCell ref="A8:G8"/>
    <mergeCell ref="A9:G9"/>
    <mergeCell ref="A10:G10"/>
  </mergeCells>
  <conditionalFormatting sqref="B16 D16:G16 C15:C16 A1:G11">
    <cfRule type="containsText" priority="4" dxfId="3" operator="containsText" text="1.0.0">
      <formula>NOT(ISERROR(SEARCH("1.0.0",A1)))</formula>
    </cfRule>
  </conditionalFormatting>
  <printOptions horizontalCentered="1"/>
  <pageMargins left="0.25" right="0.25" top="0.75" bottom="0.75" header="0.3" footer="0.3"/>
  <pageSetup fitToHeight="0" fitToWidth="1" horizontalDpi="600" verticalDpi="600" orientation="portrait" paperSize="9" scale="60" r:id="rId3"/>
  <legacyDrawing r:id="rId2"/>
  <oleObjects>
    <oleObject progId="Word.Picture.8" shapeId="15065521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 del Barco</dc:creator>
  <cp:keywords/>
  <dc:description/>
  <cp:lastModifiedBy>Rodrigo Daniel Arganaraz</cp:lastModifiedBy>
  <cp:lastPrinted>2019-10-18T21:08:08Z</cp:lastPrinted>
  <dcterms:created xsi:type="dcterms:W3CDTF">2016-05-16T15:05:32Z</dcterms:created>
  <dcterms:modified xsi:type="dcterms:W3CDTF">2019-11-29T19:49:47Z</dcterms:modified>
  <cp:category/>
  <cp:version/>
  <cp:contentType/>
  <cp:contentStatus/>
</cp:coreProperties>
</file>