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E SECUNDARIA" sheetId="1" r:id="rId4"/>
    <sheet state="hidden" name="Hoja 4" sheetId="2" r:id="rId5"/>
    <sheet state="hidden" name="buscador-materias" sheetId="3" r:id="rId6"/>
  </sheets>
  <definedNames/>
  <calcPr/>
</workbook>
</file>

<file path=xl/sharedStrings.xml><?xml version="1.0" encoding="utf-8"?>
<sst xmlns="http://schemas.openxmlformats.org/spreadsheetml/2006/main" count="733" uniqueCount="317">
  <si>
    <t>INFORMACIÓN DE LA SEDE DE CATE - TÉCNICA</t>
  </si>
  <si>
    <t xml:space="preserve">ESPACIOS QUE SE ACREDITAN EN LA SEDE                                        </t>
  </si>
  <si>
    <t>NOMBRE</t>
  </si>
  <si>
    <t>DIA DE FUNCIONAMIENTO</t>
  </si>
  <si>
    <t>HORARIO</t>
  </si>
  <si>
    <t>DIRECCIÓN</t>
  </si>
  <si>
    <t>MATERIA</t>
  </si>
  <si>
    <t>Esc. Técnica Nº 12 DE 01 Libertador Gral. Jose de San Martin</t>
  </si>
  <si>
    <t>SÁBADOS</t>
  </si>
  <si>
    <t>13:00 - 17:00</t>
  </si>
  <si>
    <t>AV DEL LIBERTADOR 238</t>
  </si>
  <si>
    <t>MATEMÁTICA</t>
  </si>
  <si>
    <t>TECNOLOGÍA DE LA REPRESENTACIÓN</t>
  </si>
  <si>
    <t>LENGUA Y LITERATURA</t>
  </si>
  <si>
    <t>FÍSICA</t>
  </si>
  <si>
    <t>Esc. Técnica Nº 30 DE 02 Dr. Norberto Piñero</t>
  </si>
  <si>
    <t>09:00 - 13:00</t>
  </si>
  <si>
    <t>JERONIMO SALGUERO 920</t>
  </si>
  <si>
    <t>CIRCUITOS ELÉCTRICOS Y MAGNÉTICOS</t>
  </si>
  <si>
    <t>DISPOSITIVOS ELECTRÓNICOS</t>
  </si>
  <si>
    <t>ANÁLISIS DE CIRCUITOS ELÉCTRONICOS</t>
  </si>
  <si>
    <t>LABORATORIO DE MEDICIONES ELÉCTRICAS II</t>
  </si>
  <si>
    <t>QUIMICA 3°</t>
  </si>
  <si>
    <t xml:space="preserve">QUIMICA GENERAL </t>
  </si>
  <si>
    <t xml:space="preserve">QUIMICA ORGANICA I </t>
  </si>
  <si>
    <t>Esc. Técnica Nº 01 DE 04 Ing. Otto Krause</t>
  </si>
  <si>
    <t>PASEO COLON AV. 650</t>
  </si>
  <si>
    <t>SOCIALES 
(FEC - GEO - HIST)</t>
  </si>
  <si>
    <t>Esc. Técnica Nº 04 DE 05 República del Líbano</t>
  </si>
  <si>
    <t>AV. MONTES  DE  OCA 121</t>
  </si>
  <si>
    <t>MATEMÁTICAS FINANCIERA 4°</t>
  </si>
  <si>
    <t>TEORÍA DE LAS ORGANIZACIONES</t>
  </si>
  <si>
    <t>GESTIÓN DE LAS ORGANIZACIONES CONTABLES</t>
  </si>
  <si>
    <t>Esc. Técnica Nº 07 DE 05 Dolores Lavalle de Lavalle</t>
  </si>
  <si>
    <t>ZAVALETA 204</t>
  </si>
  <si>
    <t>Esc. Técnica Nº 10 DE 05 Fray Luis Beltran</t>
  </si>
  <si>
    <t>VIEYTES 942</t>
  </si>
  <si>
    <t>- MECANICA TECNICA
- MECANISMOS
- TEC. DE LA FABRICACIÓN</t>
  </si>
  <si>
    <t>SIST. DE ELEVACIÓN Y TRANSPORTE</t>
  </si>
  <si>
    <t>- RESISTENCIA DE LOS MATERIALES 
- PROYECTO MECANICO</t>
  </si>
  <si>
    <t>INSTALACIONES INDUSTRIALES</t>
  </si>
  <si>
    <t xml:space="preserve">LABORATORIO DE ENSAYO A LOS MATERIALES </t>
  </si>
  <si>
    <t xml:space="preserve">- INSTALACIONES TERMOMECANICAS 
- SEGURIDAD E HIGIENE </t>
  </si>
  <si>
    <t>Esc. Técnica Nº 14 DE 05 Libertad</t>
  </si>
  <si>
    <t>SANTA MAGDALENA 431</t>
  </si>
  <si>
    <t>BIOLOGÍA</t>
  </si>
  <si>
    <t>Esc. Técnica Nº 11 DE 06 Manuel Belgrano</t>
  </si>
  <si>
    <t>COCHABAMBA 2830</t>
  </si>
  <si>
    <t>SOCIALES
(FEC - GEO - HIST)</t>
  </si>
  <si>
    <t>Esc. Técnica Nº 25 DE 06 Tte. 1º de Artillería Fray Luis Beltrán</t>
  </si>
  <si>
    <t>AV. JUJUY 780</t>
  </si>
  <si>
    <t>QUÍMICA</t>
  </si>
  <si>
    <t>Esc. Técnica Nº 29 DE 06 Reconquista de Buenos Aires</t>
  </si>
  <si>
    <t>AV. BOEDO 760</t>
  </si>
  <si>
    <t>CICLO SUPERIOR COMPUTACIÓN</t>
  </si>
  <si>
    <t>CICLO SUPERIOR ELECTRICA</t>
  </si>
  <si>
    <t>Esc. Técnica Nº 09 DE 07 Ing. Luis A. Huergo</t>
  </si>
  <si>
    <t>GAINZA, MARTIN DE, GRAL. 1050</t>
  </si>
  <si>
    <t>INGLÉS</t>
  </si>
  <si>
    <t>Esc. Técnica Nº 03 DE 09 Maria Sanchez de Thompson</t>
  </si>
  <si>
    <t>AV. CABILDO 40</t>
  </si>
  <si>
    <t>Esc. Técnica Nº 34 DE 09 Ing. Enrique Martin Hermitte</t>
  </si>
  <si>
    <t>Loyola 1500</t>
  </si>
  <si>
    <t>DISEÑO</t>
  </si>
  <si>
    <t>INSTALACIONES</t>
  </si>
  <si>
    <t>CALCULOS</t>
  </si>
  <si>
    <t>Escuelas Técnicas Raggio</t>
  </si>
  <si>
    <t>DEL LIBERTADOR AV. 8635</t>
  </si>
  <si>
    <t>BIOLOGIA</t>
  </si>
  <si>
    <t>Esc. Técnica Nº 05 DE 11 Maria de los Remedios de Escalada de San Martin</t>
  </si>
  <si>
    <t>Av. Juan Bautista Alberdi 1845</t>
  </si>
  <si>
    <t>HISTORIA</t>
  </si>
  <si>
    <t xml:space="preserve">Esc. Técnica Nº 06 DE 12 Fernando Fader </t>
  </si>
  <si>
    <t>LA PORTEÑA 54</t>
  </si>
  <si>
    <t>Esc. Técnica Nº 08 DE 13 Paula Albarracin de Sarmiento</t>
  </si>
  <si>
    <t>PIO COLLIVADINO 436</t>
  </si>
  <si>
    <t>Esc. Técnica Nº 32 DE 14 Gral. Jose de San Martin</t>
  </si>
  <si>
    <t>12:00 - 16:00</t>
  </si>
  <si>
    <t>GARCIA, TEODORO 3899</t>
  </si>
  <si>
    <t xml:space="preserve">LABORATORIO AMBIENTADO A OBJETOS </t>
  </si>
  <si>
    <t>REDES</t>
  </si>
  <si>
    <t>PROYECTO INFORMATICO 1 Y 2</t>
  </si>
  <si>
    <t>TERMODINÁMICA</t>
  </si>
  <si>
    <t xml:space="preserve">HIDRAÚLICA </t>
  </si>
  <si>
    <t>Esc. Técnica Nº 36 DE 15 Alte. Guillermo Brown</t>
  </si>
  <si>
    <t>GALVAN 3710</t>
  </si>
  <si>
    <t>Esc. Técnica Nº 24 DE 17 Defensa de Buenos Aires</t>
  </si>
  <si>
    <t>GUTIERREZ, RICARDO 3246</t>
  </si>
  <si>
    <t>Esc. Técnica Nº 27 DE 18 Hipolito Yrigoyen</t>
  </si>
  <si>
    <t>VIRGILIO 1980</t>
  </si>
  <si>
    <t>MATEMÁTICA   1° 2° 3°</t>
  </si>
  <si>
    <t>LENGUA Y LITERATURA 1° 2° 3°</t>
  </si>
  <si>
    <t>HISTORIA 1° 2° 3°             CIUDADANIA Y TRABAJO  1° 2°</t>
  </si>
  <si>
    <t>QUÍIMCA - 3° 5°                         QUÍMICA INORGÁNICA 4°  QUÍMICA GENERAL 4°</t>
  </si>
  <si>
    <t>TP DE QUÍMICA ANALÍTICA CUALITATIVA 5°</t>
  </si>
  <si>
    <t>TP DE QUÍMICA INORGÁNICA 4°</t>
  </si>
  <si>
    <t>-QUÍMICA ORGÁNICA I
-QUÍMICA ORGÁNICA Y BIOORGÁNICA 6°</t>
  </si>
  <si>
    <t>QUÍMICA ANALÍTICA CUANTITATIVA E INSTRUMENTAL 6°</t>
  </si>
  <si>
    <t>TP DE QUÍMICA ANALÍTICA CUANTITATIVA E INSTRUMENTAL 6°</t>
  </si>
  <si>
    <t xml:space="preserve">Esc. Técnica Nº 33 DE 19 Fundición Maestranza del Plumerillo </t>
  </si>
  <si>
    <t>Av. Int. Francisco Rabanal 1549</t>
  </si>
  <si>
    <t xml:space="preserve">METALURGIA </t>
  </si>
  <si>
    <t>Esc. Técnica Nº 20 DE 20</t>
  </si>
  <si>
    <t>MURGIONDO 2151</t>
  </si>
  <si>
    <t>Esc. Técnica Nº 13 DE 21 Ing. Jose Luis Delpini</t>
  </si>
  <si>
    <t>CORONEL MARTINIANO CHILAVERT 5460</t>
  </si>
  <si>
    <t>INFORMACIÓN DE LA SEDE DE CATE - MEDIA</t>
  </si>
  <si>
    <t>ESPACIOS QUE SE ACREDITAN EN LA SEDE</t>
  </si>
  <si>
    <t>DIA</t>
  </si>
  <si>
    <t>Colegio Nº 02 DE 01 Domingo Faustino Sarmiento</t>
  </si>
  <si>
    <t>LIBERTAD 1257</t>
  </si>
  <si>
    <t>TECNOLOGÍA DE LA INFORMACIÓN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</si>
  <si>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</si>
  <si>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EDUCACIÓN TECNOLÓGICA</t>
  </si>
  <si>
    <t>FILOSOFÍA</t>
  </si>
  <si>
    <t>FISICOQUÍMICA</t>
  </si>
  <si>
    <t xml:space="preserve">PSICOLOGÍA </t>
  </si>
  <si>
    <t>- ECONOMÍA
- ORGANIZACIONES
- SIST. ADMINISTRATIVOS</t>
  </si>
  <si>
    <t>CONT. PATRIMONIAL Y DE GESTIÓN 
- RADIACIÓN Y VIDA</t>
  </si>
  <si>
    <t>- PROYECTO ORGANIZACIONAL
- FILO. CIENCIA Y TECNOLOGÍA 
- BASE DE DATOS</t>
  </si>
  <si>
    <t>- PARTICULAS, ENERGÍA Y COSM.
- TRATAMIENTO DE IMAGENES</t>
  </si>
  <si>
    <t>Esc. de Educacion Media Nº 06 DE 01 Padre Carlos Mugica</t>
  </si>
  <si>
    <t>LETONIA Y ANTARTIDA ARGENTINA S/N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</si>
  <si>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</si>
  <si>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Colegio Nº 06 DE 02 Manuel Belgrano</t>
  </si>
  <si>
    <t>ECUADOR 1158</t>
  </si>
  <si>
    <t>SOCIALES 
(GEO)</t>
  </si>
  <si>
    <t xml:space="preserve">Esc. de Comercio Nº 05 DE 03 José de San Martín </t>
  </si>
  <si>
    <t>AV. ENTRE RIOS 757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</si>
  <si>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</si>
  <si>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Colegio Nº 07 DE 03 Juan Martín de Pueyrredon</t>
  </si>
  <si>
    <t>CHACABUCO 922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</si>
  <si>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</si>
  <si>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PROYECTO</t>
  </si>
  <si>
    <t>INTRO. A LAS CS. SOCIALES</t>
  </si>
  <si>
    <t>HISTORIA ORIENTADA</t>
  </si>
  <si>
    <t>Sociedad y Estado</t>
  </si>
  <si>
    <t>Esc. de Educación Media Nº 03 DE 04</t>
  </si>
  <si>
    <t>PALOS Y JUAN MANUEL BLANES S/N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</si>
  <si>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</si>
  <si>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 xml:space="preserve">ANTROPOLOGÍA </t>
  </si>
  <si>
    <t xml:space="preserve">SOCIEDAD Y ESTADO </t>
  </si>
  <si>
    <t>ECONOMÍA</t>
  </si>
  <si>
    <t>ARTE</t>
  </si>
  <si>
    <t>Esc. de Educación Media Nº 06 DE 05</t>
  </si>
  <si>
    <t>AV.MONTESQUIEU E IRIARTE S/N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</si>
  <si>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</si>
  <si>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FISICOQUÍMICA/FISICA</t>
  </si>
  <si>
    <t>Esc. de Comercio Nº 03 DE 7 Hipólito Vieytes</t>
  </si>
  <si>
    <t>AV. GAONA 1502</t>
  </si>
  <si>
    <t>SOCIALES 
( GEO - HIST)</t>
  </si>
  <si>
    <t>Colegio Nº 17 DE 07 Primera Junta</t>
  </si>
  <si>
    <t>AV. RIVADAVIA 5161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</si>
  <si>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</si>
  <si>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Liceo Nº 12 DE 08 Fray Mamerto Esquiú</t>
  </si>
  <si>
    <t>AV.JOSE MARIA MORENO 345</t>
  </si>
  <si>
    <t>SOCIALES 
(FEC - GEO - HIST CULT LAT - HIST ORIENTADA)</t>
  </si>
  <si>
    <t xml:space="preserve">ANTROPOLOGÍA CULTURAL </t>
  </si>
  <si>
    <t>Colegio Nº 04 DE 09 Nicolás Avellaneda</t>
  </si>
  <si>
    <t>EL SALVADOR 5528</t>
  </si>
  <si>
    <t xml:space="preserve">ECONOMIA </t>
  </si>
  <si>
    <t>CONTABILIDAD</t>
  </si>
  <si>
    <t>Esc. de Educacion Media Nº 05 DE 10 Héroes de Malvinas</t>
  </si>
  <si>
    <t>AV. CRAMER 2136</t>
  </si>
  <si>
    <t>SOCIALES 
(FEC - GEO - HIST- DER)</t>
  </si>
  <si>
    <t>SIST. ADMINISTRATIVOS</t>
  </si>
  <si>
    <t xml:space="preserve">CONT. PATRIMONIAL Y DE GESTIÓN </t>
  </si>
  <si>
    <t>ORGANIZACIONES</t>
  </si>
  <si>
    <t>SIST. DE INFO. CONTABLES</t>
  </si>
  <si>
    <t>Liceo Nº 05 DE 11 Pascual Guaglianone</t>
  </si>
  <si>
    <t>AV. CARABOBO 286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</si>
  <si>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</si>
  <si>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 xml:space="preserve">EDUCACIÓN CIUDADANA </t>
  </si>
  <si>
    <t>Colegio Nº 09 DE 12 Justo José de Urquiza</t>
  </si>
  <si>
    <t>CONDARCO 290</t>
  </si>
  <si>
    <t>Esc. de Comercio Nº 06 DE 13 América</t>
  </si>
  <si>
    <t>AV. ESCALADA 2890</t>
  </si>
  <si>
    <t>CONTABILIDAD I Y II</t>
  </si>
  <si>
    <t>- ECONOMIA
- ORGANIZACIONES</t>
  </si>
  <si>
    <t>TALLER ADM. CONTABLE I</t>
  </si>
  <si>
    <t>SIST. ADM. CONTABLES II</t>
  </si>
  <si>
    <t>Esc. de Comercio Nº 32 DE 13 José León Suarez</t>
  </si>
  <si>
    <t>ACASSUSO 5860</t>
  </si>
  <si>
    <t>SOCIALES 
(FEC - GEO)</t>
  </si>
  <si>
    <t>FRANCES</t>
  </si>
  <si>
    <t>- ECONOMIA
- CONTABILIDAD II
- MACROECONOMIA</t>
  </si>
  <si>
    <t>- ADMINISTRACION
- CONTABILIDAD I
- PRACTICAS DE OFICINA</t>
  </si>
  <si>
    <t>SISTEMA ADMINISTRATIVO</t>
  </si>
  <si>
    <t>CONTABILIDAD PATRIMONIAL</t>
  </si>
  <si>
    <t>PROYECTO ORGANIZACIONAL</t>
  </si>
  <si>
    <t>Colegio Nº 12 DE 15 Reconquista</t>
  </si>
  <si>
    <t>AV. TRIUNVIRATO 4992</t>
  </si>
  <si>
    <t>SOCIALES 
(FEC - GEO - HIST )</t>
  </si>
  <si>
    <t>Esc. de Comercio Nº 15 DE 15 Dra. Cecilia Grierson</t>
  </si>
  <si>
    <t>VALDENEGRO 3523</t>
  </si>
  <si>
    <t>Esc. de Educacion Media Nº 02 DE 17 Rumania</t>
  </si>
  <si>
    <t>MANUEL PORCEL DE PERALTA 1437</t>
  </si>
  <si>
    <t>SOCIALES 
(FEC - GEO - HIST - DER)</t>
  </si>
  <si>
    <t xml:space="preserve">ED. CIUDADANA </t>
  </si>
  <si>
    <t>Esc. de Comercio Nº 11 DE 17 Dr. José Peralta</t>
  </si>
  <si>
    <t>PEDRO LOZANO 4250</t>
  </si>
  <si>
    <t>SOCIALES 
(FEC - GEO - HIST -DER)</t>
  </si>
  <si>
    <t>- ECONOMIA
- ORGANIZACIONES
- IMPUESTOS</t>
  </si>
  <si>
    <t>- SIST. DE INFO. CONTABLES
- SIST. ADMIN. CONTABLES
- ECO Y ADMINISTRACIÓN</t>
  </si>
  <si>
    <t>CONTABILIDAD PATRIMONIAL  Y DE GESTIÓN</t>
  </si>
  <si>
    <t>- PROY. ORGANIZACIONAL
- TALLER ADMI. CONTABLE
- MATEMATICA FINANCIERA</t>
  </si>
  <si>
    <t>- ECO. POLITICA
- ECO. Y GESTIÓN DE LAS ORG.
- TEC. Y PRAC. CONTABLES I Y II</t>
  </si>
  <si>
    <t>- LEG. Y PRAC. IMPOSITIVA
- PRAC. PROFESIONALES
- FINANZAS</t>
  </si>
  <si>
    <t>- MACROECONOMIA
- MICROECONOMIA
- CONTABILIDAD I Y II</t>
  </si>
  <si>
    <t>- COSTOS
- GEO. ECO. ARGENTINA
- TEO. DE LAS ORGANIZACIONES</t>
  </si>
  <si>
    <t>- ADMI. DE EMPRESAS
- ORG. DE LA PRODUCCIÓN</t>
  </si>
  <si>
    <t>Colegio Nº 13 DE 18 Cnel. Tomás Espora</t>
  </si>
  <si>
    <t>GALLARDO 149</t>
  </si>
  <si>
    <t>SOCIALES 
(GEO - HIST - FEC)</t>
  </si>
  <si>
    <t>- RADIACIÓN Y VIDA
- ENERGÍA Y PARTICULA
- PROY. ORGANIZACIONAL</t>
  </si>
  <si>
    <t>- ECONOMIA
- ADMINISTRACIÓN
- ORGANIZACIONES</t>
  </si>
  <si>
    <t>- SIST. DE INFO. CONTABLES
- CONT. PATRIMONIAL  Y DE GESTIÓN</t>
  </si>
  <si>
    <t>- INTRO. AL ESTUDIO DE LA COM.
- COMUNICACIÓN
- RADIO</t>
  </si>
  <si>
    <t>- TEO. DE LA COMUNICACIÓN
- COM. CULTURA Y SOCIEDAD</t>
  </si>
  <si>
    <t>Colegio Nº 18 DE 18 Dr. Alberto Larroque</t>
  </si>
  <si>
    <t>MORON 4149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</si>
  <si>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HIST)</t>
    </r>
  </si>
  <si>
    <t xml:space="preserve">FRANCÉS </t>
  </si>
  <si>
    <t>Esc. de Comercio Nº 30 DE 18 Dr. Esteban Agustín Gascon</t>
  </si>
  <si>
    <t>SAN BLAS 5387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</si>
  <si>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HIST)</t>
    </r>
  </si>
  <si>
    <t>ECONOMIA</t>
  </si>
  <si>
    <t>Esc. de Educacion Media Nº 02 DE 19 Arturo Jauretche</t>
  </si>
  <si>
    <t>MARTINEZ CASTRO 3067</t>
  </si>
  <si>
    <t>DERECHO</t>
  </si>
  <si>
    <t>TALLER DE RADIO</t>
  </si>
  <si>
    <t xml:space="preserve">TALLER GRAFICA </t>
  </si>
  <si>
    <t>PROYECTO DE COMUNICACIÓN</t>
  </si>
  <si>
    <t>COMUNICACIÓN</t>
  </si>
  <si>
    <t>INFORMATICA</t>
  </si>
  <si>
    <t>Esc. de Educacion Media Nº 04 DE 19 Homero Manzi</t>
  </si>
  <si>
    <t>AV SAENZ 631</t>
  </si>
  <si>
    <t>SOCIALES 
(HIST - FEC - DER)</t>
  </si>
  <si>
    <t xml:space="preserve">HISTORIA CULTURAL </t>
  </si>
  <si>
    <t>Esc. de Educacion Media Nº 01 DE 20 Biblioteca del Congreso de la Nación</t>
  </si>
  <si>
    <t>ZUVIRIA 6550</t>
  </si>
  <si>
    <t>SOCIALES 
(FEC - HIST - DER)</t>
  </si>
  <si>
    <t>Esc. de Educacion Media Nº 02 DE 20</t>
  </si>
  <si>
    <t>CAÑADA DE GOMEZ 3850</t>
  </si>
  <si>
    <t xml:space="preserve">TURISMO Y SOCIEDAD </t>
  </si>
  <si>
    <t>SERVICIOS TURISTICOS</t>
  </si>
  <si>
    <t>TURISMO Y TERRITORIO</t>
  </si>
  <si>
    <t>COMUNICACIÓN TURÍSTICA</t>
  </si>
  <si>
    <t>Esc. de Educación Media Nº 01 DE 21</t>
  </si>
  <si>
    <t>JOSÉ BARROS PAZOS 5250</t>
  </si>
  <si>
    <t>SOCIALES 
(FEC - GEO - HIST - HIST DE LA VIDA Y LA TIERRA)</t>
  </si>
  <si>
    <t>COSMOLOGIA</t>
  </si>
  <si>
    <t>Esc. de Comercio Nº 35 DE 21 Leopoldo Marechal</t>
  </si>
  <si>
    <t>AV.LARRAZABAL 5140</t>
  </si>
  <si>
    <t>SOCIALES 
(FEC - GEO - HIST - HIST DE VyT - DER)</t>
  </si>
  <si>
    <t xml:space="preserve">- ORGANIZACIONES
- ECONOMÍA
- ADMINISTRACIÓN </t>
  </si>
  <si>
    <t>- SIST. DE INFO. CONTABLES
- SIST. ADMIN. CONTABLES</t>
  </si>
  <si>
    <t xml:space="preserve">PROYECTO ORGANIZACIONAL </t>
  </si>
  <si>
    <t>INFORMACIÓN DE LA SEDE DE CATE - NORMALES Y ARTÍSTICAS</t>
  </si>
  <si>
    <t>ESEA en Artes Visuales Manuel Belgrano</t>
  </si>
  <si>
    <t>WENCESLAO VILLAFAÑE 1342</t>
  </si>
  <si>
    <t>FRANCÉS</t>
  </si>
  <si>
    <t>Esc. de Arte Cerámico N° 2 Fernando Arranz</t>
  </si>
  <si>
    <t>ALEJANDRO MAGARIÑOS CERVANTES 5068</t>
  </si>
  <si>
    <t>Escuela Normal Superior en Lenguas Vivas N° 1  Roque Sáenz Peña</t>
  </si>
  <si>
    <t>PARAGUAY 1930</t>
  </si>
  <si>
    <t>ED. TECNOLOGICA</t>
  </si>
  <si>
    <t>IES en Lenguas Vivas Juan Ramón Fernández</t>
  </si>
  <si>
    <t>CARLOS PELLEGRINI 1515</t>
  </si>
  <si>
    <t>MATEMÁTICA PARA LA FÍSICA</t>
  </si>
  <si>
    <t>LABORATORIO DE MATEMÁTICA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</si>
  <si>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</si>
  <si>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SOCIOLOGÍA</t>
  </si>
  <si>
    <t xml:space="preserve">LENGUA Y CULTURA </t>
  </si>
  <si>
    <t>Esc. Normal Superior N° 04 Estanislao Severo Zeballos</t>
  </si>
  <si>
    <t>AV RIVADAVIA 4950</t>
  </si>
  <si>
    <t>GEOGRAFÍA</t>
  </si>
  <si>
    <t>Esc. Normal Superior N° 05 Gral. Don Martín Miguel de Güemes</t>
  </si>
  <si>
    <t>CNEL RICO 751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</si>
  <si>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</si>
  <si>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HISTORIA DE LA VIDA Y LA TIERRA</t>
  </si>
  <si>
    <t>Esc. Normal Superior N° 07 José María Torres</t>
  </si>
  <si>
    <t>AV.CORRIENTES 4261</t>
  </si>
  <si>
    <r>
      <rPr>
        <rFont val="Calibri"/>
        <color theme="1"/>
        <sz val="12.0"/>
      </rPr>
      <t xml:space="preserve">SOCIALES 
</t>
    </r>
    <r>
      <rPr>
        <rFont val="Calibri"/>
        <color theme="1"/>
        <sz val="12.0"/>
      </rPr>
      <t>(FEC - GEO - HIST)</t>
    </r>
  </si>
  <si>
    <t>Esc. Normal Superior N° 10 Juan Bautista Alberdi</t>
  </si>
  <si>
    <t>O'HIGGINS 2441</t>
  </si>
  <si>
    <t>SOCIALES 
(FEC - HIST  )</t>
  </si>
  <si>
    <t>HISTORIA CULTURAL LATINOAMERICANA</t>
  </si>
  <si>
    <t>Física</t>
  </si>
  <si>
    <t>Análisis De Circuitos Eléctricos</t>
  </si>
  <si>
    <t>Laboratorio De Mediciones Eléctricas Ii</t>
  </si>
  <si>
    <t>Formación Etica Y Ciudadana</t>
  </si>
  <si>
    <t>Lengua Y Literatura</t>
  </si>
  <si>
    <t>Inglés</t>
  </si>
  <si>
    <t>Biología</t>
  </si>
  <si>
    <t>Química</t>
  </si>
  <si>
    <t>Matemática</t>
  </si>
  <si>
    <t>Educación Tecnológica</t>
  </si>
  <si>
    <t>Francés</t>
  </si>
  <si>
    <t>Fisicoquímica</t>
  </si>
  <si>
    <t>Derecho</t>
  </si>
  <si>
    <t>Tecnología De La Información</t>
  </si>
  <si>
    <t>Geografia</t>
  </si>
  <si>
    <t>Circuitos Eléctricos Y Magnéticos</t>
  </si>
  <si>
    <t>Dispositivos Electrónicos</t>
  </si>
  <si>
    <t>Laboratorio De Matemática</t>
  </si>
  <si>
    <t>Matemática Para La Física</t>
  </si>
  <si>
    <t>Culturas Y Estéticas Contemporánea</t>
  </si>
  <si>
    <t>Historia Del Arte Contemporáneo</t>
  </si>
  <si>
    <t xml:space="preserve"> </t>
  </si>
  <si>
    <t>Buscador por Materias</t>
  </si>
  <si>
    <t>Establecimiento</t>
  </si>
  <si>
    <t>Materias</t>
  </si>
  <si>
    <t>Materia</t>
  </si>
  <si>
    <t>Establecimientos</t>
  </si>
  <si>
    <t>Horario</t>
  </si>
  <si>
    <t>Dirección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</si>
</sst>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 de &quot;mmmm"/>
  </numFmts>
  <fonts count="13">
    <font>
      <sz val="10.0"/>
      <color rgb="FF000000"/>
      <name val="Arial"/>
      <scheme val="minor"/>
    </font>
    <font>
      <b/>
      <sz val="15.0"/>
      <color theme="1"/>
      <name val="Calibri"/>
    </font>
    <font/>
    <font>
      <sz val="12.0"/>
      <color theme="1"/>
      <name val="Calibri"/>
    </font>
    <font>
      <sz val="12.0"/>
      <color rgb="FF222222"/>
      <name val="Calibri"/>
    </font>
    <font>
      <sz val="11.0"/>
      <color theme="1"/>
      <name val="Calibri"/>
    </font>
    <font>
      <sz val="12.0"/>
      <color rgb="FF000000"/>
      <name val="Calibri"/>
    </font>
    <font>
      <sz val="11.0"/>
      <color theme="1"/>
      <name val="Arial"/>
      <scheme val="minor"/>
    </font>
    <font>
      <sz val="11.0"/>
      <color rgb="FF222222"/>
      <name val="Calibri"/>
    </font>
    <font>
      <sz val="11.0"/>
      <color rgb="FF000000"/>
      <name val="Calibri"/>
    </font>
    <font>
      <color theme="1"/>
      <name val="Arial"/>
      <scheme val="minor"/>
    </font>
    <font>
      <b/>
      <color theme="1"/>
      <name val="Arial"/>
      <scheme val="minor"/>
    </font>
    <font>
      <sz val="9.0"/>
      <color rgb="FF000000"/>
      <name val="&quot;Google Sans Mono&quot;"/>
    </font>
  </fonts>
  <fills count="10">
    <fill>
      <patternFill patternType="none"/>
    </fill>
    <fill>
      <patternFill patternType="lightGray"/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27BA0"/>
        <bgColor rgb="FFC27BA0"/>
      </patternFill>
    </fill>
    <fill>
      <patternFill patternType="solid">
        <fgColor rgb="FFB6D7A8"/>
        <bgColor rgb="FFB6D7A8"/>
      </patternFill>
    </fill>
    <fill>
      <patternFill patternType="solid">
        <fgColor rgb="FFF6B26B"/>
        <bgColor rgb="FFF6B26B"/>
      </patternFill>
    </fill>
    <fill>
      <patternFill patternType="solid">
        <fgColor rgb="FFD5A6BD"/>
        <bgColor rgb="FFD5A6BD"/>
      </patternFill>
    </fill>
    <fill>
      <patternFill patternType="solid">
        <fgColor rgb="FFF9CB9C"/>
        <bgColor rgb="FFF9CB9C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2" fontId="1" numFmtId="0" xfId="0" applyAlignment="1" applyBorder="1" applyFont="1">
      <alignment horizontal="center" shrinkToFit="0" vertical="center" wrapText="1"/>
    </xf>
    <xf borderId="0" fillId="3" fontId="1" numFmtId="0" xfId="0" applyAlignment="1" applyFill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4" fillId="4" fontId="3" numFmtId="0" xfId="0" applyAlignment="1" applyBorder="1" applyFill="1" applyFont="1">
      <alignment horizontal="left" shrinkToFit="0" vertical="center" wrapText="0"/>
    </xf>
    <xf borderId="5" fillId="0" fontId="3" numFmtId="0" xfId="0" applyAlignment="1" applyBorder="1" applyFont="1">
      <alignment horizontal="left" shrinkToFit="0" vertical="center" wrapText="1"/>
    </xf>
    <xf borderId="3" fillId="0" fontId="3" numFmtId="0" xfId="0" applyAlignment="1" applyBorder="1" applyFont="1">
      <alignment horizontal="left" readingOrder="0" shrinkToFit="0" vertical="center" wrapText="1"/>
    </xf>
    <xf borderId="4" fillId="4" fontId="3" numFmtId="0" xfId="0" applyAlignment="1" applyBorder="1" applyFont="1">
      <alignment horizontal="left" readingOrder="0" shrinkToFit="0" vertical="center" wrapText="0"/>
    </xf>
    <xf borderId="4" fillId="0" fontId="3" numFmtId="0" xfId="0" applyAlignment="1" applyBorder="1" applyFont="1">
      <alignment horizontal="left" readingOrder="0"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4" fillId="3" fontId="4" numFmtId="0" xfId="0" applyAlignment="1" applyBorder="1" applyFont="1">
      <alignment horizontal="left" shrinkToFit="0" vertical="center" wrapText="1"/>
    </xf>
    <xf borderId="0" fillId="3" fontId="3" numFmtId="0" xfId="0" applyAlignment="1" applyFont="1">
      <alignment horizontal="left" shrinkToFit="0" vertical="center" wrapText="1"/>
    </xf>
    <xf borderId="4" fillId="0" fontId="3" numFmtId="0" xfId="0" applyAlignment="1" applyBorder="1" applyFont="1">
      <alignment horizontal="left" readingOrder="0" shrinkToFit="0" vertical="center" wrapText="1"/>
    </xf>
    <xf borderId="4" fillId="3" fontId="3" numFmtId="0" xfId="0" applyAlignment="1" applyBorder="1" applyFont="1">
      <alignment horizontal="left" readingOrder="0" shrinkToFit="0" vertical="center" wrapText="1"/>
    </xf>
    <xf borderId="4" fillId="0" fontId="5" numFmtId="0" xfId="0" applyAlignment="1" applyBorder="1" applyFont="1">
      <alignment horizontal="left" readingOrder="0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4" fillId="3" fontId="6" numFmtId="0" xfId="0" applyAlignment="1" applyBorder="1" applyFont="1">
      <alignment horizontal="left" readingOrder="0" vertical="center"/>
    </xf>
    <xf borderId="5" fillId="0" fontId="5" numFmtId="0" xfId="0" applyAlignment="1" applyBorder="1" applyFont="1">
      <alignment horizontal="left" shrinkToFit="0" vertical="center" wrapText="1"/>
    </xf>
    <xf borderId="6" fillId="3" fontId="5" numFmtId="0" xfId="0" applyAlignment="1" applyBorder="1" applyFont="1">
      <alignment horizontal="left" readingOrder="0" shrinkToFit="0" vertical="center" wrapText="1"/>
    </xf>
    <xf borderId="4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left" vertical="center"/>
    </xf>
    <xf borderId="3" fillId="0" fontId="5" numFmtId="0" xfId="0" applyAlignment="1" applyBorder="1" applyFont="1">
      <alignment horizontal="left" shrinkToFit="0" vertical="center" wrapText="1"/>
    </xf>
    <xf borderId="5" fillId="0" fontId="5" numFmtId="0" xfId="0" applyAlignment="1" applyBorder="1" applyFont="1">
      <alignment horizontal="left" readingOrder="0" shrinkToFit="0" vertical="center" wrapText="1"/>
    </xf>
    <xf borderId="6" fillId="0" fontId="5" numFmtId="0" xfId="0" applyAlignment="1" applyBorder="1" applyFont="1">
      <alignment horizontal="left" readingOrder="0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4" fillId="3" fontId="5" numFmtId="0" xfId="0" applyAlignment="1" applyBorder="1" applyFont="1">
      <alignment horizontal="left" shrinkToFit="0" vertical="center" wrapText="1"/>
    </xf>
    <xf borderId="3" fillId="3" fontId="5" numFmtId="0" xfId="0" applyAlignment="1" applyBorder="1" applyFont="1">
      <alignment horizontal="left" shrinkToFit="0" vertical="center" wrapText="1"/>
    </xf>
    <xf borderId="4" fillId="3" fontId="8" numFmtId="0" xfId="0" applyAlignment="1" applyBorder="1" applyFont="1">
      <alignment horizontal="left" readingOrder="0" shrinkToFit="0" vertical="center" wrapText="1"/>
    </xf>
    <xf borderId="3" fillId="3" fontId="8" numFmtId="0" xfId="0" applyAlignment="1" applyBorder="1" applyFont="1">
      <alignment horizontal="left" readingOrder="0" shrinkToFit="0" vertical="center" wrapText="1"/>
    </xf>
    <xf borderId="7" fillId="3" fontId="3" numFmtId="0" xfId="0" applyAlignment="1" applyBorder="1" applyFont="1">
      <alignment horizontal="left" shrinkToFit="0" vertical="center" wrapText="1"/>
    </xf>
    <xf borderId="5" fillId="3" fontId="3" numFmtId="0" xfId="0" applyAlignment="1" applyBorder="1" applyFont="1">
      <alignment horizontal="left" readingOrder="0" shrinkToFit="0" vertical="center" wrapText="1"/>
    </xf>
    <xf borderId="7" fillId="3" fontId="3" numFmtId="0" xfId="0" applyAlignment="1" applyBorder="1" applyFont="1">
      <alignment horizontal="left" readingOrder="0" shrinkToFit="0" vertical="center" wrapText="1"/>
    </xf>
    <xf borderId="3" fillId="0" fontId="3" numFmtId="0" xfId="0" applyAlignment="1" applyBorder="1" applyFont="1">
      <alignment horizontal="left" shrinkToFit="0" vertical="center" wrapText="1"/>
    </xf>
    <xf borderId="5" fillId="3" fontId="5" numFmtId="0" xfId="0" applyAlignment="1" applyBorder="1" applyFont="1">
      <alignment horizontal="left" shrinkToFit="0" vertical="center" wrapText="1"/>
    </xf>
    <xf borderId="3" fillId="0" fontId="5" numFmtId="0" xfId="0" applyAlignment="1" applyBorder="1" applyFont="1">
      <alignment horizontal="left" readingOrder="0" shrinkToFit="0" vertical="center" wrapText="1"/>
    </xf>
    <xf borderId="4" fillId="3" fontId="9" numFmtId="0" xfId="0" applyAlignment="1" applyBorder="1" applyFont="1">
      <alignment horizontal="left" readingOrder="0" shrinkToFit="0" vertical="center" wrapText="1"/>
    </xf>
    <xf borderId="5" fillId="0" fontId="3" numFmtId="0" xfId="0" applyAlignment="1" applyBorder="1" applyFont="1">
      <alignment horizontal="left" readingOrder="0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3" fillId="0" fontId="5" numFmtId="0" xfId="0" applyAlignment="1" applyBorder="1" applyFont="1">
      <alignment horizontal="left" shrinkToFit="0" vertical="center" wrapText="1"/>
    </xf>
    <xf borderId="4" fillId="3" fontId="8" numFmtId="0" xfId="0" applyAlignment="1" applyBorder="1" applyFont="1">
      <alignment horizontal="left" shrinkToFit="0" vertical="center" wrapText="1"/>
    </xf>
    <xf borderId="3" fillId="3" fontId="8" numFmtId="0" xfId="0" applyAlignment="1" applyBorder="1" applyFont="1">
      <alignment horizontal="left" shrinkToFit="0" vertical="center" wrapText="1"/>
    </xf>
    <xf borderId="5" fillId="3" fontId="8" numFmtId="0" xfId="0" applyAlignment="1" applyBorder="1" applyFont="1">
      <alignment horizontal="left" readingOrder="0" shrinkToFit="0" vertical="center" wrapText="1"/>
    </xf>
    <xf borderId="8" fillId="0" fontId="3" numFmtId="0" xfId="0" applyAlignment="1" applyBorder="1" applyFont="1">
      <alignment horizontal="left" shrinkToFit="0" vertical="center" wrapText="1"/>
    </xf>
    <xf borderId="3" fillId="3" fontId="3" numFmtId="0" xfId="0" applyAlignment="1" applyBorder="1" applyFont="1">
      <alignment horizontal="left" readingOrder="0"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7" fillId="3" fontId="3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left" readingOrder="0" vertical="center"/>
    </xf>
    <xf borderId="7" fillId="3" fontId="3" numFmtId="0" xfId="0" applyAlignment="1" applyBorder="1" applyFont="1">
      <alignment horizontal="left" readingOrder="0" vertical="center"/>
    </xf>
    <xf borderId="5" fillId="3" fontId="5" numFmtId="0" xfId="0" applyAlignment="1" applyBorder="1" applyFont="1">
      <alignment horizontal="left" readingOrder="0" shrinkToFit="0" vertical="center" wrapText="1"/>
    </xf>
    <xf borderId="4" fillId="0" fontId="5" numFmtId="164" xfId="0" applyAlignment="1" applyBorder="1" applyFont="1" applyNumberFormat="1">
      <alignment horizontal="left" shrinkToFit="0" vertical="center" wrapText="1"/>
    </xf>
    <xf borderId="3" fillId="0" fontId="5" numFmtId="164" xfId="0" applyAlignment="1" applyBorder="1" applyFont="1" applyNumberFormat="1">
      <alignment horizontal="left" shrinkToFit="0" vertical="center" wrapText="1"/>
    </xf>
    <xf borderId="0" fillId="0" fontId="5" numFmtId="164" xfId="0" applyAlignment="1" applyFont="1" applyNumberFormat="1">
      <alignment horizontal="left" shrinkToFit="0" vertical="center" wrapText="1"/>
    </xf>
    <xf borderId="0" fillId="0" fontId="3" numFmtId="164" xfId="0" applyAlignment="1" applyFont="1" applyNumberFormat="1">
      <alignment horizontal="left" shrinkToFit="0" vertical="center" wrapText="1"/>
    </xf>
    <xf borderId="4" fillId="3" fontId="3" numFmtId="0" xfId="0" applyAlignment="1" applyBorder="1" applyFont="1">
      <alignment horizontal="left" shrinkToFit="0" vertical="center" wrapText="1"/>
    </xf>
    <xf borderId="0" fillId="3" fontId="3" numFmtId="0" xfId="0" applyAlignment="1" applyFont="1">
      <alignment horizontal="center" shrinkToFit="0" vertical="center" wrapText="1"/>
    </xf>
    <xf borderId="0" fillId="3" fontId="3" numFmtId="0" xfId="0" applyAlignment="1" applyFont="1">
      <alignment horizontal="center" readingOrder="0" shrinkToFit="0" vertical="center" wrapText="1"/>
    </xf>
    <xf borderId="0" fillId="3" fontId="3" numFmtId="0" xfId="0" applyAlignment="1" applyFont="1">
      <alignment horizontal="left" readingOrder="0" shrinkToFit="0" vertical="center" wrapText="1"/>
    </xf>
    <xf borderId="3" fillId="0" fontId="3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horizontal="left" readingOrder="0"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3" fillId="3" fontId="3" numFmtId="0" xfId="0" applyAlignment="1" applyBorder="1" applyFont="1">
      <alignment horizontal="left" shrinkToFit="0" vertical="center" wrapText="1"/>
    </xf>
    <xf borderId="5" fillId="0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3" fontId="1" numFmtId="0" xfId="0" applyAlignment="1" applyFont="1">
      <alignment horizontal="center" readingOrder="0" shrinkToFit="0" vertical="center" wrapText="1"/>
    </xf>
    <xf borderId="3" fillId="0" fontId="3" numFmtId="0" xfId="0" applyAlignment="1" applyBorder="1" applyFont="1">
      <alignment shrinkToFit="0" vertical="center" wrapText="1"/>
    </xf>
    <xf borderId="0" fillId="0" fontId="10" numFmtId="0" xfId="0" applyFont="1"/>
    <xf borderId="1" fillId="5" fontId="11" numFmtId="0" xfId="0" applyAlignment="1" applyBorder="1" applyFill="1" applyFont="1">
      <alignment horizontal="center" readingOrder="0"/>
    </xf>
    <xf borderId="0" fillId="6" fontId="11" numFmtId="0" xfId="0" applyAlignment="1" applyFill="1" applyFont="1">
      <alignment readingOrder="0"/>
    </xf>
    <xf borderId="1" fillId="7" fontId="11" numFmtId="0" xfId="0" applyAlignment="1" applyBorder="1" applyFill="1" applyFont="1">
      <alignment horizontal="center" readingOrder="0"/>
    </xf>
    <xf borderId="0" fillId="3" fontId="12" numFmtId="0" xfId="0" applyFont="1"/>
    <xf borderId="4" fillId="8" fontId="11" numFmtId="0" xfId="0" applyAlignment="1" applyBorder="1" applyFill="1" applyFont="1">
      <alignment horizontal="center" readingOrder="0"/>
    </xf>
    <xf borderId="4" fillId="9" fontId="11" numFmtId="0" xfId="0" applyAlignment="1" applyBorder="1" applyFill="1" applyFont="1">
      <alignment horizontal="center" readingOrder="0"/>
    </xf>
    <xf borderId="4" fillId="0" fontId="10" numFmtId="0" xfId="0" applyAlignment="1" applyBorder="1" applyFont="1">
      <alignment readingOrder="0"/>
    </xf>
    <xf borderId="4" fillId="0" fontId="10" numFmtId="0" xfId="0" applyBorder="1" applyFont="1"/>
    <xf borderId="0" fillId="0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61.38"/>
    <col customWidth="1" min="2" max="2" width="21.63"/>
    <col customWidth="1" min="3" max="3" width="25.25"/>
    <col customWidth="1" min="4" max="4" width="32.75"/>
    <col customWidth="1" min="5" max="5" width="24.75"/>
    <col customWidth="1" min="6" max="6" width="27.38"/>
    <col customWidth="1" min="7" max="7" width="26.63"/>
    <col customWidth="1" min="8" max="8" width="25.5"/>
    <col customWidth="1" min="9" max="9" width="22.88"/>
    <col customWidth="1" min="10" max="10" width="24.75"/>
    <col customWidth="1" min="11" max="11" width="22.63"/>
    <col customWidth="1" min="12" max="12" width="26.38"/>
    <col customWidth="1" min="13" max="13" width="26.25"/>
    <col customWidth="1" min="14" max="14" width="23.75"/>
    <col customWidth="1" min="15" max="15" width="20.63"/>
    <col customWidth="1" min="16" max="16" width="26.75"/>
    <col customWidth="1" min="17" max="18" width="28.25"/>
    <col customWidth="1" min="19" max="21" width="22.5"/>
  </cols>
  <sheetData>
    <row r="1" ht="36.0" customHeight="1">
      <c r="A1" s="1" t="s">
        <v>0</v>
      </c>
      <c r="B1" s="2"/>
      <c r="C1" s="2"/>
      <c r="D1" s="3"/>
      <c r="E1" s="4" t="s">
        <v>1</v>
      </c>
      <c r="F1" s="2"/>
      <c r="G1" s="2"/>
      <c r="H1" s="2"/>
      <c r="I1" s="2"/>
      <c r="J1" s="2"/>
      <c r="K1" s="2"/>
      <c r="L1" s="2"/>
      <c r="M1" s="3"/>
      <c r="N1" s="5"/>
      <c r="O1" s="5"/>
      <c r="P1" s="5"/>
      <c r="Q1" s="5"/>
      <c r="R1" s="5"/>
      <c r="S1" s="5"/>
      <c r="T1" s="5"/>
      <c r="U1" s="5"/>
    </row>
    <row r="2" ht="40.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6</v>
      </c>
      <c r="G2" s="6" t="s">
        <v>6</v>
      </c>
      <c r="H2" s="6" t="s">
        <v>6</v>
      </c>
      <c r="I2" s="6" t="s">
        <v>6</v>
      </c>
      <c r="J2" s="6" t="s">
        <v>6</v>
      </c>
      <c r="K2" s="6" t="s">
        <v>6</v>
      </c>
      <c r="L2" s="6" t="s">
        <v>6</v>
      </c>
      <c r="M2" s="6" t="s">
        <v>6</v>
      </c>
      <c r="N2" s="5"/>
      <c r="O2" s="5"/>
      <c r="P2" s="5"/>
      <c r="Q2" s="5"/>
      <c r="R2" s="5"/>
      <c r="S2" s="5"/>
      <c r="T2" s="5"/>
      <c r="U2" s="5"/>
    </row>
    <row r="3" ht="33.0" customHeight="1">
      <c r="A3" s="7" t="s">
        <v>7</v>
      </c>
      <c r="B3" s="8" t="s">
        <v>8</v>
      </c>
      <c r="C3" s="9" t="s">
        <v>9</v>
      </c>
      <c r="D3" s="10" t="s">
        <v>10</v>
      </c>
      <c r="E3" s="11" t="s">
        <v>11</v>
      </c>
      <c r="F3" s="12" t="s">
        <v>12</v>
      </c>
      <c r="G3" s="12" t="s">
        <v>13</v>
      </c>
      <c r="H3" s="12" t="s">
        <v>14</v>
      </c>
      <c r="I3" s="13"/>
      <c r="J3" s="12"/>
      <c r="K3" s="12"/>
      <c r="L3" s="12"/>
      <c r="M3" s="12"/>
      <c r="N3" s="14"/>
      <c r="O3" s="14"/>
      <c r="P3" s="14"/>
      <c r="Q3" s="14"/>
      <c r="R3" s="14"/>
      <c r="S3" s="14"/>
      <c r="T3" s="14"/>
      <c r="U3" s="14"/>
    </row>
    <row r="4">
      <c r="A4" s="15" t="s">
        <v>15</v>
      </c>
      <c r="B4" s="12" t="s">
        <v>8</v>
      </c>
      <c r="C4" s="9" t="s">
        <v>16</v>
      </c>
      <c r="D4" s="16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7"/>
      <c r="M4" s="17"/>
      <c r="N4" s="18"/>
      <c r="O4" s="18"/>
      <c r="P4" s="18"/>
      <c r="Q4" s="19"/>
      <c r="R4" s="19"/>
      <c r="S4" s="19"/>
      <c r="T4" s="19"/>
      <c r="U4" s="19"/>
    </row>
    <row r="5" ht="33.0" customHeight="1">
      <c r="A5" s="20" t="s">
        <v>25</v>
      </c>
      <c r="B5" s="12" t="s">
        <v>8</v>
      </c>
      <c r="C5" s="9" t="s">
        <v>9</v>
      </c>
      <c r="D5" s="10" t="s">
        <v>26</v>
      </c>
      <c r="E5" s="17" t="s">
        <v>11</v>
      </c>
      <c r="F5" s="21" t="s">
        <v>12</v>
      </c>
      <c r="G5" s="22" t="s">
        <v>27</v>
      </c>
      <c r="H5" s="21" t="s">
        <v>14</v>
      </c>
      <c r="I5" s="21" t="s">
        <v>13</v>
      </c>
      <c r="J5" s="23"/>
      <c r="K5" s="23"/>
      <c r="L5" s="23"/>
      <c r="M5" s="23"/>
      <c r="N5" s="24"/>
      <c r="O5" s="24"/>
      <c r="P5" s="24"/>
    </row>
    <row r="6" ht="41.25" customHeight="1">
      <c r="A6" s="20" t="s">
        <v>28</v>
      </c>
      <c r="B6" s="12" t="s">
        <v>8</v>
      </c>
      <c r="C6" s="9" t="s">
        <v>16</v>
      </c>
      <c r="D6" s="10" t="s">
        <v>29</v>
      </c>
      <c r="E6" s="17" t="s">
        <v>11</v>
      </c>
      <c r="F6" s="25" t="s">
        <v>12</v>
      </c>
      <c r="G6" s="22" t="s">
        <v>27</v>
      </c>
      <c r="H6" s="26" t="s">
        <v>30</v>
      </c>
      <c r="I6" s="26" t="s">
        <v>31</v>
      </c>
      <c r="J6" s="26" t="s">
        <v>32</v>
      </c>
      <c r="K6" s="23"/>
      <c r="L6" s="23"/>
      <c r="M6" s="23"/>
      <c r="N6" s="24"/>
      <c r="O6" s="24"/>
      <c r="P6" s="24"/>
    </row>
    <row r="7" ht="33.0" customHeight="1">
      <c r="A7" s="7" t="s">
        <v>33</v>
      </c>
      <c r="B7" s="12" t="s">
        <v>8</v>
      </c>
      <c r="C7" s="9" t="s">
        <v>9</v>
      </c>
      <c r="D7" s="10" t="s">
        <v>34</v>
      </c>
      <c r="E7" s="27" t="s">
        <v>11</v>
      </c>
      <c r="F7" s="25" t="s">
        <v>12</v>
      </c>
      <c r="G7" s="21" t="s">
        <v>14</v>
      </c>
      <c r="H7" s="21"/>
      <c r="I7" s="21"/>
      <c r="J7" s="21"/>
      <c r="K7" s="28"/>
      <c r="L7" s="28"/>
      <c r="M7" s="28"/>
      <c r="N7" s="29"/>
      <c r="O7" s="29"/>
      <c r="P7" s="29"/>
      <c r="Q7" s="30"/>
      <c r="R7" s="30"/>
      <c r="S7" s="30"/>
      <c r="T7" s="30"/>
      <c r="U7" s="30"/>
    </row>
    <row r="8" ht="44.25" customHeight="1">
      <c r="A8" s="7" t="s">
        <v>35</v>
      </c>
      <c r="B8" s="12" t="s">
        <v>8</v>
      </c>
      <c r="C8" s="9" t="s">
        <v>9</v>
      </c>
      <c r="D8" s="10" t="s">
        <v>36</v>
      </c>
      <c r="E8" s="27" t="s">
        <v>11</v>
      </c>
      <c r="F8" s="31" t="s">
        <v>12</v>
      </c>
      <c r="G8" s="32" t="s">
        <v>14</v>
      </c>
      <c r="H8" s="33" t="s">
        <v>37</v>
      </c>
      <c r="I8" s="34" t="s">
        <v>38</v>
      </c>
      <c r="J8" s="26" t="s">
        <v>39</v>
      </c>
      <c r="K8" s="17" t="s">
        <v>40</v>
      </c>
      <c r="L8" s="17" t="s">
        <v>41</v>
      </c>
      <c r="M8" s="17" t="s">
        <v>42</v>
      </c>
      <c r="N8" s="18"/>
      <c r="O8" s="18"/>
      <c r="P8" s="18"/>
      <c r="Q8" s="19"/>
      <c r="R8" s="19"/>
      <c r="S8" s="19"/>
      <c r="T8" s="19"/>
      <c r="U8" s="19"/>
    </row>
    <row r="9" ht="33.0" customHeight="1">
      <c r="A9" s="7" t="s">
        <v>43</v>
      </c>
      <c r="B9" s="8" t="s">
        <v>8</v>
      </c>
      <c r="C9" s="9" t="s">
        <v>16</v>
      </c>
      <c r="D9" s="10" t="s">
        <v>44</v>
      </c>
      <c r="E9" s="27" t="s">
        <v>11</v>
      </c>
      <c r="F9" s="25" t="s">
        <v>12</v>
      </c>
      <c r="G9" s="25" t="s">
        <v>45</v>
      </c>
      <c r="H9" s="21" t="s">
        <v>14</v>
      </c>
      <c r="I9" s="23"/>
      <c r="J9" s="21"/>
      <c r="K9" s="28"/>
      <c r="L9" s="28"/>
      <c r="M9" s="28"/>
      <c r="N9" s="29"/>
      <c r="O9" s="29"/>
      <c r="P9" s="29"/>
      <c r="Q9" s="30"/>
      <c r="R9" s="30"/>
      <c r="S9" s="30"/>
      <c r="T9" s="30"/>
      <c r="U9" s="30"/>
    </row>
    <row r="10" ht="33.0" customHeight="1">
      <c r="A10" s="35" t="s">
        <v>46</v>
      </c>
      <c r="B10" s="8" t="s">
        <v>8</v>
      </c>
      <c r="C10" s="9" t="s">
        <v>9</v>
      </c>
      <c r="D10" s="36" t="s">
        <v>47</v>
      </c>
      <c r="E10" s="27" t="s">
        <v>11</v>
      </c>
      <c r="F10" s="26" t="s">
        <v>12</v>
      </c>
      <c r="G10" s="22" t="s">
        <v>48</v>
      </c>
      <c r="H10" s="17" t="s">
        <v>14</v>
      </c>
      <c r="I10" s="26" t="s">
        <v>13</v>
      </c>
      <c r="J10" s="28"/>
      <c r="K10" s="28"/>
      <c r="L10" s="28"/>
      <c r="M10" s="28"/>
      <c r="N10" s="29"/>
      <c r="O10" s="29"/>
      <c r="P10" s="29"/>
      <c r="Q10" s="30"/>
      <c r="R10" s="30"/>
      <c r="S10" s="30"/>
      <c r="T10" s="30"/>
      <c r="U10" s="30"/>
    </row>
    <row r="11" ht="33.0" customHeight="1">
      <c r="A11" s="37" t="s">
        <v>49</v>
      </c>
      <c r="B11" s="38" t="s">
        <v>8</v>
      </c>
      <c r="C11" s="9" t="s">
        <v>9</v>
      </c>
      <c r="D11" s="36" t="s">
        <v>50</v>
      </c>
      <c r="E11" s="27" t="s">
        <v>11</v>
      </c>
      <c r="F11" s="26" t="s">
        <v>12</v>
      </c>
      <c r="G11" s="21" t="s">
        <v>45</v>
      </c>
      <c r="H11" s="39" t="s">
        <v>51</v>
      </c>
      <c r="I11" s="17" t="s">
        <v>14</v>
      </c>
      <c r="J11" s="28"/>
      <c r="K11" s="28"/>
      <c r="L11" s="28"/>
      <c r="M11" s="28"/>
      <c r="N11" s="29"/>
      <c r="O11" s="29"/>
      <c r="P11" s="29"/>
      <c r="Q11" s="30"/>
      <c r="R11" s="30"/>
      <c r="S11" s="30"/>
      <c r="T11" s="30"/>
      <c r="U11" s="30"/>
    </row>
    <row r="12" ht="42.0" customHeight="1">
      <c r="A12" s="10" t="s">
        <v>52</v>
      </c>
      <c r="B12" s="38" t="s">
        <v>8</v>
      </c>
      <c r="C12" s="9" t="s">
        <v>9</v>
      </c>
      <c r="D12" s="10" t="s">
        <v>53</v>
      </c>
      <c r="E12" s="27" t="s">
        <v>11</v>
      </c>
      <c r="F12" s="25" t="s">
        <v>12</v>
      </c>
      <c r="G12" s="40" t="s">
        <v>54</v>
      </c>
      <c r="H12" s="41" t="s">
        <v>55</v>
      </c>
      <c r="I12" s="28"/>
      <c r="J12" s="28"/>
      <c r="K12" s="28"/>
      <c r="L12" s="28"/>
      <c r="M12" s="28"/>
      <c r="N12" s="29"/>
      <c r="O12" s="29"/>
      <c r="P12" s="29"/>
      <c r="Q12" s="30"/>
      <c r="R12" s="30"/>
      <c r="S12" s="30"/>
      <c r="T12" s="30"/>
      <c r="U12" s="30"/>
    </row>
    <row r="13" ht="33.0" customHeight="1">
      <c r="A13" s="35" t="s">
        <v>56</v>
      </c>
      <c r="B13" s="8" t="s">
        <v>8</v>
      </c>
      <c r="C13" s="42" t="s">
        <v>16</v>
      </c>
      <c r="D13" s="36" t="s">
        <v>57</v>
      </c>
      <c r="E13" s="27" t="s">
        <v>11</v>
      </c>
      <c r="F13" s="21" t="s">
        <v>12</v>
      </c>
      <c r="G13" s="21" t="s">
        <v>13</v>
      </c>
      <c r="H13" s="21" t="s">
        <v>58</v>
      </c>
      <c r="I13" s="22" t="s">
        <v>48</v>
      </c>
      <c r="J13" s="43"/>
      <c r="K13" s="43"/>
      <c r="L13" s="43"/>
      <c r="M13" s="43"/>
      <c r="N13" s="44"/>
      <c r="O13" s="44"/>
      <c r="P13" s="44"/>
      <c r="Q13" s="45"/>
      <c r="R13" s="45"/>
      <c r="S13" s="45"/>
      <c r="T13" s="45"/>
      <c r="U13" s="45"/>
    </row>
    <row r="14" ht="33.0" customHeight="1">
      <c r="A14" s="37" t="s">
        <v>59</v>
      </c>
      <c r="B14" s="8" t="s">
        <v>8</v>
      </c>
      <c r="C14" s="9" t="s">
        <v>16</v>
      </c>
      <c r="D14" s="36" t="s">
        <v>60</v>
      </c>
      <c r="E14" s="21" t="s">
        <v>12</v>
      </c>
      <c r="F14" s="46" t="s">
        <v>13</v>
      </c>
      <c r="G14" s="21" t="s">
        <v>58</v>
      </c>
      <c r="H14" s="47"/>
      <c r="I14" s="48"/>
      <c r="J14" s="21"/>
      <c r="K14" s="28"/>
      <c r="L14" s="28"/>
      <c r="M14" s="28"/>
      <c r="N14" s="29"/>
      <c r="O14" s="29"/>
      <c r="P14" s="29"/>
      <c r="Q14" s="30"/>
      <c r="R14" s="30"/>
      <c r="S14" s="30"/>
      <c r="T14" s="30"/>
      <c r="U14" s="30"/>
    </row>
    <row r="15" ht="33.0" customHeight="1">
      <c r="A15" s="37" t="s">
        <v>61</v>
      </c>
      <c r="B15" s="8" t="s">
        <v>8</v>
      </c>
      <c r="C15" s="9" t="s">
        <v>16</v>
      </c>
      <c r="D15" s="36" t="s">
        <v>62</v>
      </c>
      <c r="E15" s="27" t="s">
        <v>11</v>
      </c>
      <c r="F15" s="21" t="s">
        <v>12</v>
      </c>
      <c r="G15" s="46" t="s">
        <v>13</v>
      </c>
      <c r="H15" s="49" t="s">
        <v>63</v>
      </c>
      <c r="I15" s="49" t="s">
        <v>64</v>
      </c>
      <c r="J15" s="26" t="s">
        <v>65</v>
      </c>
      <c r="K15" s="28"/>
      <c r="L15" s="28"/>
      <c r="M15" s="28"/>
      <c r="N15" s="29"/>
      <c r="O15" s="29"/>
      <c r="P15" s="29"/>
      <c r="Q15" s="30"/>
      <c r="R15" s="30"/>
      <c r="S15" s="30"/>
      <c r="T15" s="30"/>
      <c r="U15" s="30"/>
    </row>
    <row r="16" ht="33.0" customHeight="1">
      <c r="A16" s="35" t="s">
        <v>66</v>
      </c>
      <c r="B16" s="8" t="s">
        <v>8</v>
      </c>
      <c r="C16" s="42" t="s">
        <v>16</v>
      </c>
      <c r="D16" s="36" t="s">
        <v>67</v>
      </c>
      <c r="E16" s="27" t="s">
        <v>11</v>
      </c>
      <c r="F16" s="21" t="s">
        <v>12</v>
      </c>
      <c r="G16" s="26" t="s">
        <v>27</v>
      </c>
      <c r="H16" s="21" t="s">
        <v>14</v>
      </c>
      <c r="I16" s="21" t="s">
        <v>58</v>
      </c>
      <c r="J16" s="17" t="s">
        <v>68</v>
      </c>
      <c r="K16" s="28"/>
      <c r="L16" s="28"/>
      <c r="M16" s="28"/>
      <c r="N16" s="29"/>
      <c r="O16" s="29"/>
      <c r="P16" s="29"/>
      <c r="Q16" s="30"/>
      <c r="R16" s="30"/>
      <c r="S16" s="30"/>
      <c r="T16" s="30"/>
      <c r="U16" s="30"/>
    </row>
    <row r="17" ht="33.0" customHeight="1">
      <c r="A17" s="7" t="s">
        <v>69</v>
      </c>
      <c r="B17" s="8" t="s">
        <v>8</v>
      </c>
      <c r="C17" s="9" t="s">
        <v>9</v>
      </c>
      <c r="D17" s="36" t="s">
        <v>70</v>
      </c>
      <c r="E17" s="27" t="s">
        <v>11</v>
      </c>
      <c r="F17" s="21" t="s">
        <v>12</v>
      </c>
      <c r="G17" s="26" t="s">
        <v>71</v>
      </c>
      <c r="H17" s="21" t="s">
        <v>58</v>
      </c>
      <c r="I17" s="21"/>
      <c r="J17" s="21"/>
      <c r="K17" s="28"/>
      <c r="L17" s="28"/>
      <c r="M17" s="28"/>
      <c r="N17" s="29"/>
      <c r="O17" s="29"/>
      <c r="P17" s="29"/>
      <c r="Q17" s="30"/>
      <c r="R17" s="30"/>
      <c r="S17" s="30"/>
      <c r="T17" s="30"/>
      <c r="U17" s="30"/>
    </row>
    <row r="18" ht="33.0" customHeight="1">
      <c r="A18" s="37" t="s">
        <v>72</v>
      </c>
      <c r="B18" s="8" t="s">
        <v>8</v>
      </c>
      <c r="C18" s="9" t="s">
        <v>9</v>
      </c>
      <c r="D18" s="36" t="s">
        <v>73</v>
      </c>
      <c r="E18" s="27" t="s">
        <v>11</v>
      </c>
      <c r="F18" s="21" t="s">
        <v>12</v>
      </c>
      <c r="G18" s="26" t="s">
        <v>27</v>
      </c>
      <c r="H18" s="21" t="s">
        <v>14</v>
      </c>
      <c r="I18" s="39" t="s">
        <v>51</v>
      </c>
      <c r="J18" s="17"/>
      <c r="K18" s="17"/>
      <c r="L18" s="17"/>
      <c r="M18" s="17"/>
      <c r="N18" s="18"/>
      <c r="O18" s="18"/>
      <c r="P18" s="18"/>
      <c r="Q18" s="19"/>
      <c r="R18" s="19"/>
      <c r="S18" s="19"/>
      <c r="T18" s="19"/>
      <c r="U18" s="19"/>
    </row>
    <row r="19" ht="33.0" customHeight="1">
      <c r="A19" s="35" t="s">
        <v>74</v>
      </c>
      <c r="B19" s="8" t="s">
        <v>8</v>
      </c>
      <c r="C19" s="9" t="s">
        <v>9</v>
      </c>
      <c r="D19" s="36" t="s">
        <v>75</v>
      </c>
      <c r="E19" s="27" t="s">
        <v>11</v>
      </c>
      <c r="F19" s="21" t="s">
        <v>12</v>
      </c>
      <c r="G19" s="26" t="s">
        <v>27</v>
      </c>
      <c r="H19" s="28" t="s">
        <v>45</v>
      </c>
      <c r="I19" s="21" t="s">
        <v>14</v>
      </c>
      <c r="J19" s="21"/>
      <c r="K19" s="28"/>
      <c r="L19" s="28"/>
      <c r="M19" s="28"/>
      <c r="N19" s="29"/>
      <c r="O19" s="29"/>
      <c r="P19" s="29"/>
      <c r="Q19" s="30"/>
      <c r="R19" s="30"/>
      <c r="S19" s="30"/>
      <c r="T19" s="30"/>
      <c r="U19" s="30"/>
    </row>
    <row r="20" ht="42.0" customHeight="1">
      <c r="A20" s="35" t="s">
        <v>76</v>
      </c>
      <c r="B20" s="8" t="s">
        <v>8</v>
      </c>
      <c r="C20" s="9" t="s">
        <v>77</v>
      </c>
      <c r="D20" s="36" t="s">
        <v>78</v>
      </c>
      <c r="E20" s="27" t="s">
        <v>11</v>
      </c>
      <c r="F20" s="21" t="s">
        <v>12</v>
      </c>
      <c r="G20" s="26" t="s">
        <v>79</v>
      </c>
      <c r="H20" s="21" t="s">
        <v>14</v>
      </c>
      <c r="I20" s="26" t="s">
        <v>80</v>
      </c>
      <c r="J20" s="17" t="s">
        <v>81</v>
      </c>
      <c r="K20" s="17" t="s">
        <v>82</v>
      </c>
      <c r="L20" s="17" t="s">
        <v>83</v>
      </c>
      <c r="M20" s="17"/>
      <c r="N20" s="18"/>
      <c r="O20" s="18"/>
      <c r="P20" s="18"/>
      <c r="Q20" s="19"/>
      <c r="R20" s="19"/>
      <c r="S20" s="19"/>
      <c r="T20" s="19"/>
      <c r="U20" s="19"/>
    </row>
    <row r="21" ht="33.0" customHeight="1">
      <c r="A21" s="50" t="s">
        <v>84</v>
      </c>
      <c r="B21" s="38" t="s">
        <v>8</v>
      </c>
      <c r="C21" s="9" t="s">
        <v>16</v>
      </c>
      <c r="D21" s="51" t="s">
        <v>85</v>
      </c>
      <c r="E21" s="27" t="s">
        <v>11</v>
      </c>
      <c r="F21" s="21" t="s">
        <v>12</v>
      </c>
      <c r="G21" s="21" t="s">
        <v>13</v>
      </c>
      <c r="H21" s="21" t="s">
        <v>27</v>
      </c>
      <c r="I21" s="52" t="s">
        <v>14</v>
      </c>
      <c r="J21" s="21"/>
      <c r="K21" s="28"/>
      <c r="L21" s="28"/>
      <c r="M21" s="28"/>
      <c r="N21" s="29"/>
      <c r="O21" s="29"/>
      <c r="P21" s="29"/>
      <c r="Q21" s="30"/>
      <c r="R21" s="30"/>
      <c r="S21" s="30"/>
      <c r="T21" s="30"/>
      <c r="U21" s="30"/>
    </row>
    <row r="22" ht="33.0" customHeight="1">
      <c r="A22" s="53" t="s">
        <v>86</v>
      </c>
      <c r="B22" s="8" t="s">
        <v>8</v>
      </c>
      <c r="C22" s="9" t="s">
        <v>9</v>
      </c>
      <c r="D22" s="54" t="s">
        <v>87</v>
      </c>
      <c r="E22" s="27" t="s">
        <v>11</v>
      </c>
      <c r="F22" s="26" t="s">
        <v>12</v>
      </c>
      <c r="G22" s="21" t="s">
        <v>14</v>
      </c>
      <c r="H22" s="28" t="s">
        <v>45</v>
      </c>
      <c r="I22" s="17" t="s">
        <v>58</v>
      </c>
      <c r="J22" s="39" t="s">
        <v>51</v>
      </c>
      <c r="K22" s="25"/>
      <c r="L22" s="28"/>
      <c r="M22" s="28"/>
      <c r="N22" s="29"/>
      <c r="O22" s="29"/>
      <c r="P22" s="29"/>
      <c r="Q22" s="30"/>
      <c r="R22" s="30"/>
      <c r="S22" s="30"/>
      <c r="T22" s="30"/>
      <c r="U22" s="30"/>
    </row>
    <row r="23" ht="53.25" customHeight="1">
      <c r="A23" s="55" t="s">
        <v>88</v>
      </c>
      <c r="B23" s="8" t="s">
        <v>8</v>
      </c>
      <c r="C23" s="9" t="s">
        <v>16</v>
      </c>
      <c r="D23" s="54" t="s">
        <v>89</v>
      </c>
      <c r="E23" s="27" t="s">
        <v>90</v>
      </c>
      <c r="F23" s="17" t="s">
        <v>91</v>
      </c>
      <c r="G23" s="26" t="s">
        <v>92</v>
      </c>
      <c r="H23" s="40" t="s">
        <v>93</v>
      </c>
      <c r="I23" s="40" t="s">
        <v>94</v>
      </c>
      <c r="J23" s="56" t="s">
        <v>95</v>
      </c>
      <c r="K23" s="40" t="s">
        <v>96</v>
      </c>
      <c r="L23" s="40" t="s">
        <v>97</v>
      </c>
      <c r="M23" s="41" t="s">
        <v>98</v>
      </c>
      <c r="N23" s="29"/>
      <c r="O23" s="29"/>
      <c r="P23" s="29"/>
      <c r="Q23" s="30"/>
      <c r="R23" s="30"/>
      <c r="S23" s="30"/>
      <c r="T23" s="30"/>
      <c r="U23" s="30"/>
    </row>
    <row r="24" ht="33.0" customHeight="1">
      <c r="A24" s="37" t="s">
        <v>99</v>
      </c>
      <c r="B24" s="8" t="s">
        <v>8</v>
      </c>
      <c r="C24" s="9" t="s">
        <v>9</v>
      </c>
      <c r="D24" s="36" t="s">
        <v>100</v>
      </c>
      <c r="E24" s="27" t="s">
        <v>11</v>
      </c>
      <c r="F24" s="57" t="s">
        <v>12</v>
      </c>
      <c r="G24" s="31" t="s">
        <v>51</v>
      </c>
      <c r="H24" s="46" t="s">
        <v>13</v>
      </c>
      <c r="I24" s="58" t="s">
        <v>14</v>
      </c>
      <c r="J24" s="58" t="s">
        <v>58</v>
      </c>
      <c r="K24" s="25" t="s">
        <v>101</v>
      </c>
      <c r="L24" s="25"/>
      <c r="M24" s="57"/>
      <c r="N24" s="59"/>
      <c r="O24" s="59"/>
      <c r="P24" s="59"/>
      <c r="Q24" s="60"/>
      <c r="R24" s="60"/>
      <c r="S24" s="60"/>
      <c r="T24" s="60"/>
      <c r="U24" s="60"/>
    </row>
    <row r="25" ht="33.0" customHeight="1">
      <c r="A25" s="7" t="s">
        <v>102</v>
      </c>
      <c r="B25" s="8" t="s">
        <v>8</v>
      </c>
      <c r="C25" s="9" t="s">
        <v>16</v>
      </c>
      <c r="D25" s="10" t="s">
        <v>103</v>
      </c>
      <c r="E25" s="27" t="s">
        <v>11</v>
      </c>
      <c r="F25" s="57" t="s">
        <v>12</v>
      </c>
      <c r="G25" s="58" t="s">
        <v>14</v>
      </c>
      <c r="H25" s="58"/>
      <c r="I25" s="21"/>
      <c r="J25" s="28"/>
      <c r="K25" s="28"/>
      <c r="L25" s="28"/>
      <c r="M25" s="28"/>
      <c r="N25" s="29"/>
      <c r="O25" s="29"/>
      <c r="P25" s="29"/>
      <c r="Q25" s="30"/>
      <c r="R25" s="30"/>
      <c r="S25" s="30"/>
      <c r="T25" s="30"/>
      <c r="U25" s="30"/>
    </row>
    <row r="26" ht="33.0" customHeight="1">
      <c r="A26" s="61" t="s">
        <v>104</v>
      </c>
      <c r="B26" s="12" t="s">
        <v>8</v>
      </c>
      <c r="C26" s="11" t="s">
        <v>16</v>
      </c>
      <c r="D26" s="16" t="s">
        <v>105</v>
      </c>
      <c r="E26" s="17" t="s">
        <v>11</v>
      </c>
      <c r="F26" s="28" t="s">
        <v>12</v>
      </c>
      <c r="G26" s="17" t="s">
        <v>13</v>
      </c>
      <c r="H26" s="26" t="s">
        <v>27</v>
      </c>
      <c r="I26" s="17" t="s">
        <v>58</v>
      </c>
      <c r="J26" s="28" t="s">
        <v>14</v>
      </c>
      <c r="K26" s="28" t="s">
        <v>45</v>
      </c>
      <c r="L26" s="28"/>
      <c r="M26" s="28"/>
      <c r="N26" s="29"/>
      <c r="O26" s="29"/>
      <c r="P26" s="29"/>
      <c r="Q26" s="30"/>
      <c r="R26" s="30"/>
      <c r="S26" s="30"/>
      <c r="T26" s="30"/>
      <c r="U26" s="30"/>
    </row>
    <row r="27" ht="33.0" customHeight="1">
      <c r="A27" s="14"/>
      <c r="B27" s="62"/>
      <c r="C27" s="63"/>
      <c r="D27" s="64"/>
      <c r="E27" s="63"/>
      <c r="F27" s="62"/>
      <c r="G27" s="63"/>
      <c r="H27" s="63"/>
      <c r="I27" s="63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ht="34.5" customHeight="1">
      <c r="A28" s="1" t="s">
        <v>106</v>
      </c>
      <c r="B28" s="2"/>
      <c r="C28" s="2"/>
      <c r="D28" s="3"/>
      <c r="E28" s="1" t="s">
        <v>107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</row>
    <row r="29" ht="34.5" customHeight="1">
      <c r="A29" s="6" t="s">
        <v>2</v>
      </c>
      <c r="B29" s="6" t="s">
        <v>108</v>
      </c>
      <c r="C29" s="6" t="s">
        <v>4</v>
      </c>
      <c r="D29" s="6" t="s">
        <v>5</v>
      </c>
      <c r="E29" s="6" t="s">
        <v>6</v>
      </c>
      <c r="F29" s="6" t="s">
        <v>6</v>
      </c>
      <c r="G29" s="6" t="s">
        <v>6</v>
      </c>
      <c r="H29" s="6" t="s">
        <v>6</v>
      </c>
      <c r="I29" s="6" t="s">
        <v>6</v>
      </c>
      <c r="J29" s="6" t="s">
        <v>6</v>
      </c>
      <c r="K29" s="6" t="s">
        <v>6</v>
      </c>
      <c r="L29" s="6" t="s">
        <v>6</v>
      </c>
      <c r="M29" s="6" t="s">
        <v>6</v>
      </c>
      <c r="N29" s="6" t="s">
        <v>6</v>
      </c>
      <c r="O29" s="6" t="s">
        <v>6</v>
      </c>
      <c r="P29" s="6" t="s">
        <v>6</v>
      </c>
      <c r="Q29" s="6" t="s">
        <v>6</v>
      </c>
      <c r="R29" s="6" t="s">
        <v>6</v>
      </c>
      <c r="S29" s="6" t="s">
        <v>6</v>
      </c>
      <c r="T29" s="6" t="s">
        <v>6</v>
      </c>
      <c r="U29" s="6" t="s">
        <v>6</v>
      </c>
    </row>
    <row r="30" ht="45.75" customHeight="1">
      <c r="A30" s="37" t="s">
        <v>109</v>
      </c>
      <c r="B30" s="8" t="s">
        <v>8</v>
      </c>
      <c r="C30" s="9" t="s">
        <v>9</v>
      </c>
      <c r="D30" s="36" t="s">
        <v>110</v>
      </c>
      <c r="E30" s="42" t="s">
        <v>11</v>
      </c>
      <c r="F30" s="42" t="s">
        <v>111</v>
      </c>
      <c r="G30" s="42" t="s">
        <v>112</v>
      </c>
      <c r="H30" s="8" t="s">
        <v>45</v>
      </c>
      <c r="I30" s="42" t="s">
        <v>113</v>
      </c>
      <c r="J30" s="11" t="s">
        <v>114</v>
      </c>
      <c r="K30" s="8" t="s">
        <v>14</v>
      </c>
      <c r="L30" s="8" t="s">
        <v>115</v>
      </c>
      <c r="M30" s="42" t="s">
        <v>116</v>
      </c>
      <c r="N30" s="42" t="s">
        <v>117</v>
      </c>
      <c r="O30" s="11" t="s">
        <v>118</v>
      </c>
      <c r="P30" s="11" t="s">
        <v>119</v>
      </c>
      <c r="Q30" s="11" t="s">
        <v>120</v>
      </c>
      <c r="R30" s="12"/>
      <c r="S30" s="12"/>
      <c r="T30" s="12"/>
      <c r="U30" s="12"/>
    </row>
    <row r="31" ht="33.0" customHeight="1">
      <c r="A31" s="37" t="s">
        <v>121</v>
      </c>
      <c r="B31" s="8" t="s">
        <v>8</v>
      </c>
      <c r="C31" s="9" t="s">
        <v>16</v>
      </c>
      <c r="D31" s="36" t="s">
        <v>122</v>
      </c>
      <c r="E31" s="42" t="s">
        <v>11</v>
      </c>
      <c r="F31" s="8" t="s">
        <v>13</v>
      </c>
      <c r="G31" s="42" t="s">
        <v>113</v>
      </c>
      <c r="H31" s="8" t="s">
        <v>45</v>
      </c>
      <c r="I31" s="42" t="s">
        <v>123</v>
      </c>
      <c r="J31" s="4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33.0" customHeight="1">
      <c r="A32" s="37" t="s">
        <v>124</v>
      </c>
      <c r="B32" s="8" t="s">
        <v>8</v>
      </c>
      <c r="C32" s="9" t="s">
        <v>16</v>
      </c>
      <c r="D32" s="36" t="s">
        <v>125</v>
      </c>
      <c r="E32" s="42" t="s">
        <v>11</v>
      </c>
      <c r="F32" s="42" t="s">
        <v>126</v>
      </c>
      <c r="G32" s="8" t="s">
        <v>14</v>
      </c>
      <c r="H32" s="8" t="s">
        <v>115</v>
      </c>
      <c r="I32" s="8" t="s">
        <v>51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33.0" customHeight="1">
      <c r="A33" s="37" t="s">
        <v>127</v>
      </c>
      <c r="B33" s="8" t="s">
        <v>8</v>
      </c>
      <c r="C33" s="9" t="s">
        <v>16</v>
      </c>
      <c r="D33" s="36" t="s">
        <v>128</v>
      </c>
      <c r="E33" s="42" t="s">
        <v>11</v>
      </c>
      <c r="F33" s="42" t="s">
        <v>129</v>
      </c>
      <c r="G33" s="8" t="s">
        <v>13</v>
      </c>
      <c r="H33" s="8" t="s">
        <v>115</v>
      </c>
      <c r="I33" s="8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33.0" customHeight="1">
      <c r="A34" s="37" t="s">
        <v>130</v>
      </c>
      <c r="B34" s="8" t="s">
        <v>8</v>
      </c>
      <c r="C34" s="9" t="s">
        <v>16</v>
      </c>
      <c r="D34" s="36" t="s">
        <v>131</v>
      </c>
      <c r="E34" s="42" t="s">
        <v>11</v>
      </c>
      <c r="F34" s="42" t="s">
        <v>132</v>
      </c>
      <c r="G34" s="8" t="s">
        <v>14</v>
      </c>
      <c r="H34" s="36" t="s">
        <v>133</v>
      </c>
      <c r="I34" s="42" t="s">
        <v>134</v>
      </c>
      <c r="J34" s="11" t="s">
        <v>135</v>
      </c>
      <c r="K34" s="11" t="s">
        <v>136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33.0" customHeight="1">
      <c r="A35" s="37" t="s">
        <v>137</v>
      </c>
      <c r="B35" s="8" t="s">
        <v>8</v>
      </c>
      <c r="C35" s="9" t="s">
        <v>9</v>
      </c>
      <c r="D35" s="36" t="s">
        <v>138</v>
      </c>
      <c r="E35" s="42" t="s">
        <v>11</v>
      </c>
      <c r="F35" s="42" t="s">
        <v>139</v>
      </c>
      <c r="G35" s="42" t="s">
        <v>45</v>
      </c>
      <c r="H35" s="42" t="s">
        <v>114</v>
      </c>
      <c r="I35" s="42" t="s">
        <v>140</v>
      </c>
      <c r="J35" s="12" t="s">
        <v>14</v>
      </c>
      <c r="K35" s="8" t="s">
        <v>115</v>
      </c>
      <c r="L35" s="11" t="s">
        <v>141</v>
      </c>
      <c r="M35" s="42" t="s">
        <v>142</v>
      </c>
      <c r="N35" s="42" t="s">
        <v>143</v>
      </c>
      <c r="O35" s="11"/>
      <c r="P35" s="11"/>
      <c r="Q35" s="11"/>
      <c r="R35" s="11"/>
      <c r="S35" s="11"/>
      <c r="T35" s="11"/>
      <c r="U35" s="11"/>
    </row>
    <row r="36" ht="33.0" customHeight="1">
      <c r="A36" s="37" t="s">
        <v>144</v>
      </c>
      <c r="B36" s="8" t="s">
        <v>8</v>
      </c>
      <c r="C36" s="9" t="s">
        <v>16</v>
      </c>
      <c r="D36" s="36" t="s">
        <v>145</v>
      </c>
      <c r="E36" s="42" t="s">
        <v>11</v>
      </c>
      <c r="F36" s="8" t="s">
        <v>13</v>
      </c>
      <c r="G36" s="8" t="s">
        <v>58</v>
      </c>
      <c r="H36" s="42" t="s">
        <v>146</v>
      </c>
      <c r="I36" s="42" t="s">
        <v>147</v>
      </c>
      <c r="J36" s="12" t="s">
        <v>51</v>
      </c>
      <c r="K36" s="8" t="s">
        <v>45</v>
      </c>
      <c r="L36" s="8"/>
      <c r="M36" s="8"/>
      <c r="N36" s="8"/>
      <c r="O36" s="12"/>
      <c r="P36" s="12"/>
      <c r="Q36" s="12"/>
      <c r="R36" s="12"/>
      <c r="S36" s="12"/>
      <c r="T36" s="12"/>
      <c r="U36" s="12"/>
    </row>
    <row r="37" ht="33.0" customHeight="1">
      <c r="A37" s="37" t="s">
        <v>148</v>
      </c>
      <c r="B37" s="8" t="s">
        <v>8</v>
      </c>
      <c r="C37" s="9" t="s">
        <v>16</v>
      </c>
      <c r="D37" s="36" t="s">
        <v>149</v>
      </c>
      <c r="E37" s="42" t="s">
        <v>113</v>
      </c>
      <c r="F37" s="42" t="s">
        <v>13</v>
      </c>
      <c r="G37" s="42" t="s">
        <v>150</v>
      </c>
      <c r="H37" s="12" t="s">
        <v>111</v>
      </c>
      <c r="I37" s="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33.0" customHeight="1">
      <c r="A38" s="37" t="s">
        <v>151</v>
      </c>
      <c r="B38" s="8" t="s">
        <v>8</v>
      </c>
      <c r="C38" s="9" t="s">
        <v>16</v>
      </c>
      <c r="D38" s="36" t="s">
        <v>152</v>
      </c>
      <c r="E38" s="42" t="s">
        <v>11</v>
      </c>
      <c r="F38" s="42" t="s">
        <v>13</v>
      </c>
      <c r="G38" s="42" t="s">
        <v>14</v>
      </c>
      <c r="H38" s="12" t="s">
        <v>58</v>
      </c>
      <c r="I38" s="8" t="s">
        <v>153</v>
      </c>
      <c r="J38" s="12" t="s">
        <v>114</v>
      </c>
      <c r="K38" s="42"/>
      <c r="L38" s="42"/>
      <c r="M38" s="42"/>
      <c r="N38" s="42"/>
      <c r="O38" s="11"/>
      <c r="P38" s="11"/>
      <c r="Q38" s="11"/>
      <c r="R38" s="11"/>
      <c r="S38" s="11"/>
      <c r="T38" s="11"/>
      <c r="U38" s="11"/>
    </row>
    <row r="39" ht="44.25" customHeight="1">
      <c r="A39" s="37" t="s">
        <v>154</v>
      </c>
      <c r="B39" s="8" t="s">
        <v>8</v>
      </c>
      <c r="C39" s="9" t="s">
        <v>16</v>
      </c>
      <c r="D39" s="36" t="s">
        <v>155</v>
      </c>
      <c r="E39" s="42" t="s">
        <v>11</v>
      </c>
      <c r="F39" s="8" t="s">
        <v>156</v>
      </c>
      <c r="G39" s="42" t="s">
        <v>113</v>
      </c>
      <c r="H39" s="12" t="s">
        <v>111</v>
      </c>
      <c r="I39" s="8" t="s">
        <v>45</v>
      </c>
      <c r="J39" s="42" t="s">
        <v>157</v>
      </c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33.0" customHeight="1">
      <c r="A40" s="37" t="s">
        <v>158</v>
      </c>
      <c r="B40" s="8" t="s">
        <v>8</v>
      </c>
      <c r="C40" s="9" t="s">
        <v>9</v>
      </c>
      <c r="D40" s="36" t="s">
        <v>159</v>
      </c>
      <c r="E40" s="42" t="s">
        <v>11</v>
      </c>
      <c r="F40" s="8" t="s">
        <v>13</v>
      </c>
      <c r="G40" s="8" t="s">
        <v>14</v>
      </c>
      <c r="H40" s="42" t="s">
        <v>160</v>
      </c>
      <c r="I40" s="11" t="s">
        <v>161</v>
      </c>
      <c r="J40" s="42"/>
      <c r="K40" s="42"/>
      <c r="L40" s="42"/>
      <c r="M40" s="42"/>
      <c r="N40" s="42"/>
      <c r="O40" s="11"/>
      <c r="P40" s="11"/>
      <c r="Q40" s="11"/>
      <c r="R40" s="11"/>
      <c r="S40" s="11"/>
      <c r="T40" s="11"/>
      <c r="U40" s="11"/>
    </row>
    <row r="41" ht="33.0" customHeight="1">
      <c r="A41" s="37" t="s">
        <v>162</v>
      </c>
      <c r="B41" s="8" t="s">
        <v>8</v>
      </c>
      <c r="C41" s="9" t="s">
        <v>9</v>
      </c>
      <c r="D41" s="36" t="s">
        <v>163</v>
      </c>
      <c r="E41" s="42" t="s">
        <v>164</v>
      </c>
      <c r="F41" s="42" t="s">
        <v>11</v>
      </c>
      <c r="G41" s="42" t="s">
        <v>45</v>
      </c>
      <c r="H41" s="42" t="s">
        <v>160</v>
      </c>
      <c r="I41" s="42" t="s">
        <v>165</v>
      </c>
      <c r="J41" s="11" t="s">
        <v>166</v>
      </c>
      <c r="K41" s="11" t="s">
        <v>167</v>
      </c>
      <c r="L41" s="11" t="s">
        <v>168</v>
      </c>
      <c r="M41" s="12"/>
      <c r="N41" s="12"/>
      <c r="O41" s="12"/>
      <c r="P41" s="12"/>
      <c r="Q41" s="12"/>
      <c r="R41" s="12"/>
      <c r="S41" s="12"/>
      <c r="T41" s="12"/>
      <c r="U41" s="12"/>
    </row>
    <row r="42" ht="33.0" customHeight="1">
      <c r="A42" s="37" t="s">
        <v>169</v>
      </c>
      <c r="B42" s="8" t="s">
        <v>8</v>
      </c>
      <c r="C42" s="9" t="s">
        <v>9</v>
      </c>
      <c r="D42" s="36" t="s">
        <v>170</v>
      </c>
      <c r="E42" s="8" t="s">
        <v>11</v>
      </c>
      <c r="F42" s="8" t="s">
        <v>13</v>
      </c>
      <c r="G42" s="8" t="s">
        <v>171</v>
      </c>
      <c r="H42" s="8" t="s">
        <v>58</v>
      </c>
      <c r="I42" s="8" t="s">
        <v>45</v>
      </c>
      <c r="J42" s="11" t="s">
        <v>172</v>
      </c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33.0" customHeight="1">
      <c r="A43" s="37" t="s">
        <v>173</v>
      </c>
      <c r="B43" s="8" t="s">
        <v>8</v>
      </c>
      <c r="C43" s="9" t="s">
        <v>9</v>
      </c>
      <c r="D43" s="36" t="s">
        <v>174</v>
      </c>
      <c r="E43" s="42" t="s">
        <v>13</v>
      </c>
      <c r="F43" s="42" t="s">
        <v>58</v>
      </c>
      <c r="G43" s="8" t="s">
        <v>45</v>
      </c>
      <c r="H43" s="42" t="s">
        <v>27</v>
      </c>
      <c r="I43" s="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33.0" customHeight="1">
      <c r="A44" s="37" t="s">
        <v>175</v>
      </c>
      <c r="B44" s="8" t="s">
        <v>8</v>
      </c>
      <c r="C44" s="9" t="s">
        <v>9</v>
      </c>
      <c r="D44" s="36" t="s">
        <v>176</v>
      </c>
      <c r="E44" s="42" t="s">
        <v>11</v>
      </c>
      <c r="F44" s="42" t="s">
        <v>164</v>
      </c>
      <c r="G44" s="8" t="s">
        <v>14</v>
      </c>
      <c r="H44" s="8" t="s">
        <v>45</v>
      </c>
      <c r="I44" s="42" t="s">
        <v>177</v>
      </c>
      <c r="J44" s="11" t="s">
        <v>178</v>
      </c>
      <c r="K44" s="42" t="s">
        <v>165</v>
      </c>
      <c r="L44" s="11" t="s">
        <v>168</v>
      </c>
      <c r="M44" s="11" t="s">
        <v>179</v>
      </c>
      <c r="N44" s="42" t="s">
        <v>180</v>
      </c>
      <c r="O44" s="12"/>
      <c r="P44" s="12"/>
      <c r="Q44" s="12"/>
      <c r="R44" s="12"/>
      <c r="S44" s="12"/>
      <c r="T44" s="12"/>
      <c r="U44" s="12"/>
    </row>
    <row r="45" ht="46.5" customHeight="1">
      <c r="A45" s="37" t="s">
        <v>181</v>
      </c>
      <c r="B45" s="8" t="s">
        <v>8</v>
      </c>
      <c r="C45" s="9" t="s">
        <v>16</v>
      </c>
      <c r="D45" s="36" t="s">
        <v>182</v>
      </c>
      <c r="E45" s="42" t="s">
        <v>11</v>
      </c>
      <c r="F45" s="42" t="s">
        <v>183</v>
      </c>
      <c r="G45" s="42" t="s">
        <v>184</v>
      </c>
      <c r="H45" s="8" t="s">
        <v>111</v>
      </c>
      <c r="I45" s="8" t="s">
        <v>113</v>
      </c>
      <c r="J45" s="11" t="s">
        <v>185</v>
      </c>
      <c r="K45" s="11" t="s">
        <v>186</v>
      </c>
      <c r="L45" s="11" t="s">
        <v>187</v>
      </c>
      <c r="M45" s="11" t="s">
        <v>188</v>
      </c>
      <c r="N45" s="11" t="s">
        <v>189</v>
      </c>
      <c r="O45" s="11" t="s">
        <v>167</v>
      </c>
      <c r="P45" s="11" t="s">
        <v>168</v>
      </c>
      <c r="Q45" s="12"/>
      <c r="R45" s="12"/>
      <c r="S45" s="12"/>
      <c r="T45" s="12"/>
      <c r="U45" s="12"/>
    </row>
    <row r="46" ht="33.0" customHeight="1">
      <c r="A46" s="37" t="s">
        <v>190</v>
      </c>
      <c r="B46" s="8" t="s">
        <v>8</v>
      </c>
      <c r="C46" s="9" t="s">
        <v>9</v>
      </c>
      <c r="D46" s="36" t="s">
        <v>191</v>
      </c>
      <c r="E46" s="42" t="s">
        <v>11</v>
      </c>
      <c r="F46" s="42" t="s">
        <v>13</v>
      </c>
      <c r="G46" s="42" t="s">
        <v>192</v>
      </c>
      <c r="H46" s="8" t="s">
        <v>58</v>
      </c>
      <c r="I46" s="42" t="s">
        <v>51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45.0" customHeight="1">
      <c r="A47" s="37" t="s">
        <v>193</v>
      </c>
      <c r="B47" s="8" t="s">
        <v>8</v>
      </c>
      <c r="C47" s="9" t="s">
        <v>9</v>
      </c>
      <c r="D47" s="36" t="s">
        <v>194</v>
      </c>
      <c r="E47" s="42" t="s">
        <v>11</v>
      </c>
      <c r="F47" s="42" t="s">
        <v>13</v>
      </c>
      <c r="G47" s="42"/>
      <c r="H47" s="8"/>
      <c r="I47" s="8"/>
      <c r="J47" s="8"/>
      <c r="K47" s="12"/>
      <c r="L47" s="11"/>
      <c r="M47" s="12"/>
      <c r="N47" s="12"/>
      <c r="O47" s="12"/>
      <c r="P47" s="12"/>
      <c r="Q47" s="12"/>
      <c r="R47" s="12"/>
      <c r="S47" s="12"/>
      <c r="T47" s="12"/>
      <c r="U47" s="12"/>
    </row>
    <row r="48" ht="33.0" customHeight="1">
      <c r="A48" s="37" t="s">
        <v>195</v>
      </c>
      <c r="B48" s="8" t="s">
        <v>8</v>
      </c>
      <c r="C48" s="9" t="s">
        <v>16</v>
      </c>
      <c r="D48" s="36" t="s">
        <v>196</v>
      </c>
      <c r="E48" s="42" t="s">
        <v>11</v>
      </c>
      <c r="F48" s="42" t="s">
        <v>197</v>
      </c>
      <c r="G48" s="8" t="s">
        <v>58</v>
      </c>
      <c r="H48" s="42" t="s">
        <v>198</v>
      </c>
      <c r="I48" s="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57.0" customHeight="1">
      <c r="A49" s="37" t="s">
        <v>199</v>
      </c>
      <c r="B49" s="8" t="s">
        <v>8</v>
      </c>
      <c r="C49" s="9" t="s">
        <v>9</v>
      </c>
      <c r="D49" s="36" t="s">
        <v>200</v>
      </c>
      <c r="E49" s="42" t="s">
        <v>11</v>
      </c>
      <c r="F49" s="65" t="s">
        <v>13</v>
      </c>
      <c r="G49" s="66" t="s">
        <v>201</v>
      </c>
      <c r="H49" s="38" t="s">
        <v>115</v>
      </c>
      <c r="I49" s="38" t="s">
        <v>51</v>
      </c>
      <c r="J49" s="12" t="s">
        <v>14</v>
      </c>
      <c r="K49" s="12" t="s">
        <v>111</v>
      </c>
      <c r="L49" s="12" t="s">
        <v>113</v>
      </c>
      <c r="M49" s="11" t="s">
        <v>202</v>
      </c>
      <c r="N49" s="11" t="s">
        <v>203</v>
      </c>
      <c r="O49" s="11" t="s">
        <v>204</v>
      </c>
      <c r="P49" s="11" t="s">
        <v>205</v>
      </c>
      <c r="Q49" s="11" t="s">
        <v>206</v>
      </c>
      <c r="R49" s="11" t="s">
        <v>207</v>
      </c>
      <c r="S49" s="11" t="s">
        <v>208</v>
      </c>
      <c r="T49" s="11" t="s">
        <v>209</v>
      </c>
      <c r="U49" s="11" t="s">
        <v>210</v>
      </c>
    </row>
    <row r="50" ht="42.75" customHeight="1">
      <c r="A50" s="37" t="s">
        <v>211</v>
      </c>
      <c r="B50" s="8" t="s">
        <v>8</v>
      </c>
      <c r="C50" s="9" t="s">
        <v>16</v>
      </c>
      <c r="D50" s="36" t="s">
        <v>212</v>
      </c>
      <c r="E50" s="67" t="s">
        <v>11</v>
      </c>
      <c r="F50" s="65" t="s">
        <v>13</v>
      </c>
      <c r="G50" s="38" t="s">
        <v>213</v>
      </c>
      <c r="H50" s="38" t="s">
        <v>58</v>
      </c>
      <c r="I50" s="68" t="s">
        <v>114</v>
      </c>
      <c r="J50" s="69" t="s">
        <v>116</v>
      </c>
      <c r="K50" s="68" t="s">
        <v>115</v>
      </c>
      <c r="L50" s="8" t="s">
        <v>51</v>
      </c>
      <c r="M50" s="8" t="s">
        <v>14</v>
      </c>
      <c r="N50" s="42" t="s">
        <v>214</v>
      </c>
      <c r="O50" s="11" t="s">
        <v>215</v>
      </c>
      <c r="P50" s="11" t="s">
        <v>216</v>
      </c>
      <c r="Q50" s="11" t="s">
        <v>217</v>
      </c>
      <c r="R50" s="11" t="s">
        <v>218</v>
      </c>
      <c r="S50" s="12"/>
      <c r="T50" s="12"/>
      <c r="U50" s="12"/>
    </row>
    <row r="51" ht="33.0" customHeight="1">
      <c r="A51" s="37" t="s">
        <v>219</v>
      </c>
      <c r="B51" s="8" t="s">
        <v>8</v>
      </c>
      <c r="C51" s="9" t="s">
        <v>9</v>
      </c>
      <c r="D51" s="36" t="s">
        <v>220</v>
      </c>
      <c r="E51" s="67" t="s">
        <v>11</v>
      </c>
      <c r="F51" s="65" t="s">
        <v>13</v>
      </c>
      <c r="G51" s="8" t="s">
        <v>221</v>
      </c>
      <c r="H51" s="8" t="s">
        <v>115</v>
      </c>
      <c r="I51" s="8" t="s">
        <v>51</v>
      </c>
      <c r="J51" s="12" t="s">
        <v>14</v>
      </c>
      <c r="K51" s="8" t="s">
        <v>58</v>
      </c>
      <c r="L51" s="11" t="s">
        <v>222</v>
      </c>
      <c r="M51" s="12"/>
      <c r="N51" s="12"/>
      <c r="O51" s="12"/>
      <c r="P51" s="12"/>
      <c r="Q51" s="12"/>
      <c r="R51" s="12"/>
      <c r="S51" s="12"/>
      <c r="T51" s="12"/>
      <c r="U51" s="12"/>
    </row>
    <row r="52" ht="33.0" customHeight="1">
      <c r="A52" s="37" t="s">
        <v>223</v>
      </c>
      <c r="B52" s="8" t="s">
        <v>8</v>
      </c>
      <c r="C52" s="9" t="s">
        <v>9</v>
      </c>
      <c r="D52" s="36" t="s">
        <v>224</v>
      </c>
      <c r="E52" s="8" t="s">
        <v>11</v>
      </c>
      <c r="F52" s="42" t="s">
        <v>13</v>
      </c>
      <c r="G52" s="8" t="s">
        <v>225</v>
      </c>
      <c r="H52" s="8" t="s">
        <v>226</v>
      </c>
      <c r="I52" s="69" t="s">
        <v>167</v>
      </c>
      <c r="J52" s="11" t="s">
        <v>168</v>
      </c>
      <c r="K52" s="11" t="s">
        <v>166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33.0" customHeight="1">
      <c r="A53" s="37" t="s">
        <v>227</v>
      </c>
      <c r="B53" s="8" t="s">
        <v>8</v>
      </c>
      <c r="C53" s="9" t="s">
        <v>9</v>
      </c>
      <c r="D53" s="36" t="s">
        <v>228</v>
      </c>
      <c r="E53" s="42" t="s">
        <v>11</v>
      </c>
      <c r="F53" s="38" t="s">
        <v>213</v>
      </c>
      <c r="G53" s="42" t="s">
        <v>229</v>
      </c>
      <c r="H53" s="42" t="s">
        <v>230</v>
      </c>
      <c r="I53" s="42" t="s">
        <v>231</v>
      </c>
      <c r="J53" s="11" t="s">
        <v>232</v>
      </c>
      <c r="K53" s="11" t="s">
        <v>233</v>
      </c>
      <c r="L53" s="11" t="s">
        <v>234</v>
      </c>
      <c r="M53" s="12"/>
      <c r="N53" s="12"/>
      <c r="O53" s="12"/>
      <c r="P53" s="12"/>
      <c r="Q53" s="12"/>
      <c r="R53" s="12"/>
      <c r="S53" s="12"/>
      <c r="T53" s="12"/>
      <c r="U53" s="12"/>
    </row>
    <row r="54" ht="33.0" customHeight="1">
      <c r="A54" s="37" t="s">
        <v>235</v>
      </c>
      <c r="B54" s="8" t="s">
        <v>8</v>
      </c>
      <c r="C54" s="9" t="s">
        <v>16</v>
      </c>
      <c r="D54" s="36" t="s">
        <v>236</v>
      </c>
      <c r="E54" s="42" t="s">
        <v>11</v>
      </c>
      <c r="F54" s="42" t="s">
        <v>13</v>
      </c>
      <c r="G54" s="42" t="s">
        <v>115</v>
      </c>
      <c r="H54" s="8" t="s">
        <v>14</v>
      </c>
      <c r="I54" s="9" t="s">
        <v>237</v>
      </c>
      <c r="J54" s="11" t="s">
        <v>135</v>
      </c>
      <c r="K54" s="11" t="s">
        <v>238</v>
      </c>
      <c r="L54" s="42" t="s">
        <v>114</v>
      </c>
      <c r="M54" s="11" t="s">
        <v>141</v>
      </c>
      <c r="N54" s="69" t="s">
        <v>116</v>
      </c>
      <c r="O54" s="11" t="s">
        <v>157</v>
      </c>
      <c r="P54" s="12"/>
      <c r="Q54" s="12"/>
      <c r="R54" s="12"/>
      <c r="S54" s="12"/>
      <c r="T54" s="12"/>
      <c r="U54" s="12"/>
    </row>
    <row r="55" ht="33.0" customHeight="1">
      <c r="A55" s="37" t="s">
        <v>239</v>
      </c>
      <c r="B55" s="8" t="s">
        <v>8</v>
      </c>
      <c r="C55" s="9" t="s">
        <v>16</v>
      </c>
      <c r="D55" s="36" t="s">
        <v>240</v>
      </c>
      <c r="E55" s="42" t="s">
        <v>11</v>
      </c>
      <c r="F55" s="42" t="s">
        <v>241</v>
      </c>
      <c r="G55" s="38" t="s">
        <v>58</v>
      </c>
      <c r="H55" s="42" t="s">
        <v>13</v>
      </c>
      <c r="I55" s="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33.0" customHeight="1">
      <c r="A56" s="37" t="s">
        <v>242</v>
      </c>
      <c r="B56" s="8" t="s">
        <v>8</v>
      </c>
      <c r="C56" s="9" t="s">
        <v>9</v>
      </c>
      <c r="D56" s="36" t="s">
        <v>243</v>
      </c>
      <c r="E56" s="42" t="s">
        <v>11</v>
      </c>
      <c r="F56" s="42" t="s">
        <v>13</v>
      </c>
      <c r="G56" s="67" t="s">
        <v>58</v>
      </c>
      <c r="H56" s="65" t="s">
        <v>192</v>
      </c>
      <c r="I56" s="65" t="s">
        <v>244</v>
      </c>
      <c r="J56" s="65" t="s">
        <v>245</v>
      </c>
      <c r="K56" s="65" t="s">
        <v>246</v>
      </c>
      <c r="L56" s="38" t="s">
        <v>247</v>
      </c>
      <c r="M56" s="8" t="s">
        <v>14</v>
      </c>
      <c r="N56" s="68" t="s">
        <v>115</v>
      </c>
      <c r="O56" s="11" t="s">
        <v>45</v>
      </c>
      <c r="P56" s="12"/>
      <c r="Q56" s="12"/>
      <c r="R56" s="12"/>
      <c r="S56" s="12"/>
      <c r="T56" s="12"/>
      <c r="U56" s="12"/>
    </row>
    <row r="57" ht="33.0" customHeight="1">
      <c r="A57" s="37" t="s">
        <v>248</v>
      </c>
      <c r="B57" s="8" t="s">
        <v>8</v>
      </c>
      <c r="C57" s="9" t="s">
        <v>16</v>
      </c>
      <c r="D57" s="36" t="s">
        <v>249</v>
      </c>
      <c r="E57" s="42" t="s">
        <v>11</v>
      </c>
      <c r="F57" s="42" t="s">
        <v>13</v>
      </c>
      <c r="G57" s="8" t="s">
        <v>250</v>
      </c>
      <c r="H57" s="8" t="s">
        <v>45</v>
      </c>
      <c r="I57" s="8" t="s">
        <v>111</v>
      </c>
      <c r="J57" s="38" t="s">
        <v>58</v>
      </c>
      <c r="K57" s="67" t="s">
        <v>113</v>
      </c>
      <c r="L57" s="11" t="s">
        <v>251</v>
      </c>
      <c r="M57" s="8" t="s">
        <v>115</v>
      </c>
      <c r="N57" s="12"/>
      <c r="O57" s="12"/>
      <c r="P57" s="12"/>
      <c r="Q57" s="12"/>
      <c r="R57" s="12"/>
      <c r="S57" s="12"/>
      <c r="T57" s="12"/>
      <c r="U57" s="12"/>
    </row>
    <row r="58" ht="48.75" customHeight="1">
      <c r="A58" s="16" t="s">
        <v>252</v>
      </c>
      <c r="B58" s="12" t="s">
        <v>8</v>
      </c>
      <c r="C58" s="11" t="s">
        <v>16</v>
      </c>
      <c r="D58" s="16" t="s">
        <v>253</v>
      </c>
      <c r="E58" s="11" t="s">
        <v>11</v>
      </c>
      <c r="F58" s="66" t="s">
        <v>254</v>
      </c>
      <c r="G58" s="65" t="s">
        <v>114</v>
      </c>
      <c r="H58" s="65" t="s">
        <v>115</v>
      </c>
      <c r="I58" s="65" t="s">
        <v>14</v>
      </c>
      <c r="J58" s="38" t="s">
        <v>51</v>
      </c>
      <c r="K58" s="38" t="s">
        <v>58</v>
      </c>
      <c r="L58" s="9" t="s">
        <v>255</v>
      </c>
      <c r="M58" s="11" t="s">
        <v>256</v>
      </c>
      <c r="N58" s="11" t="s">
        <v>204</v>
      </c>
      <c r="O58" s="11" t="s">
        <v>257</v>
      </c>
      <c r="P58" s="12"/>
      <c r="Q58" s="12"/>
      <c r="R58" s="12"/>
      <c r="S58" s="12"/>
      <c r="T58" s="12"/>
      <c r="U58" s="12"/>
    </row>
    <row r="59" ht="33.0" customHeight="1">
      <c r="A59" s="64"/>
      <c r="B59" s="70"/>
      <c r="C59" s="71"/>
      <c r="D59" s="64"/>
      <c r="E59" s="19"/>
      <c r="F59" s="19"/>
      <c r="G59" s="30"/>
      <c r="H59" s="30"/>
      <c r="I59" s="19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ht="34.5" customHeight="1">
      <c r="A60" s="1" t="s">
        <v>258</v>
      </c>
      <c r="B60" s="2"/>
      <c r="C60" s="2"/>
      <c r="D60" s="3"/>
      <c r="E60" s="1" t="s">
        <v>107</v>
      </c>
      <c r="F60" s="2"/>
      <c r="G60" s="2"/>
      <c r="H60" s="2"/>
      <c r="I60" s="2"/>
      <c r="J60" s="2"/>
      <c r="K60" s="2"/>
      <c r="L60" s="2"/>
      <c r="M60" s="2"/>
      <c r="N60" s="3"/>
      <c r="O60" s="72"/>
      <c r="P60" s="72"/>
      <c r="Q60" s="72"/>
      <c r="R60" s="72"/>
      <c r="S60" s="72"/>
      <c r="T60" s="72"/>
      <c r="U60" s="72"/>
    </row>
    <row r="61" ht="34.5" customHeight="1">
      <c r="A61" s="6" t="s">
        <v>2</v>
      </c>
      <c r="B61" s="6" t="s">
        <v>108</v>
      </c>
      <c r="C61" s="6" t="s">
        <v>4</v>
      </c>
      <c r="D61" s="6" t="s">
        <v>5</v>
      </c>
      <c r="E61" s="6" t="s">
        <v>6</v>
      </c>
      <c r="F61" s="6" t="s">
        <v>6</v>
      </c>
      <c r="G61" s="6" t="s">
        <v>6</v>
      </c>
      <c r="H61" s="6" t="s">
        <v>6</v>
      </c>
      <c r="I61" s="6" t="s">
        <v>6</v>
      </c>
      <c r="J61" s="6" t="s">
        <v>6</v>
      </c>
      <c r="K61" s="6" t="s">
        <v>6</v>
      </c>
      <c r="L61" s="6" t="s">
        <v>6</v>
      </c>
      <c r="M61" s="6" t="s">
        <v>6</v>
      </c>
      <c r="N61" s="6" t="s">
        <v>6</v>
      </c>
      <c r="O61" s="5"/>
      <c r="P61" s="5"/>
      <c r="Q61" s="5"/>
      <c r="R61" s="5"/>
      <c r="S61" s="5"/>
      <c r="T61" s="5"/>
      <c r="U61" s="5"/>
    </row>
    <row r="62" ht="33.0" customHeight="1">
      <c r="A62" s="37" t="s">
        <v>259</v>
      </c>
      <c r="B62" s="8" t="s">
        <v>8</v>
      </c>
      <c r="C62" s="9" t="s">
        <v>16</v>
      </c>
      <c r="D62" s="36" t="s">
        <v>260</v>
      </c>
      <c r="E62" s="42" t="s">
        <v>11</v>
      </c>
      <c r="F62" s="42" t="s">
        <v>261</v>
      </c>
      <c r="G62" s="42" t="s">
        <v>27</v>
      </c>
      <c r="H62" s="73"/>
      <c r="I62" s="4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</row>
    <row r="63" ht="33.0" customHeight="1">
      <c r="A63" s="37" t="s">
        <v>262</v>
      </c>
      <c r="B63" s="8" t="s">
        <v>8</v>
      </c>
      <c r="C63" s="9" t="s">
        <v>9</v>
      </c>
      <c r="D63" s="36" t="s">
        <v>263</v>
      </c>
      <c r="E63" s="42" t="s">
        <v>11</v>
      </c>
      <c r="F63" s="42" t="s">
        <v>27</v>
      </c>
      <c r="G63" s="42"/>
      <c r="H63" s="8"/>
      <c r="I63" s="8"/>
      <c r="J63" s="12"/>
      <c r="K63" s="12"/>
      <c r="L63" s="12"/>
      <c r="M63" s="12"/>
      <c r="N63" s="12"/>
      <c r="O63" s="14"/>
      <c r="P63" s="14"/>
      <c r="Q63" s="14"/>
      <c r="R63" s="14"/>
      <c r="S63" s="14"/>
      <c r="T63" s="14"/>
      <c r="U63" s="14"/>
    </row>
    <row r="64" ht="33.0" customHeight="1">
      <c r="A64" s="37" t="s">
        <v>264</v>
      </c>
      <c r="B64" s="8" t="s">
        <v>8</v>
      </c>
      <c r="C64" s="9" t="s">
        <v>16</v>
      </c>
      <c r="D64" s="36" t="s">
        <v>265</v>
      </c>
      <c r="E64" s="42" t="s">
        <v>11</v>
      </c>
      <c r="F64" s="12" t="s">
        <v>13</v>
      </c>
      <c r="G64" s="42" t="s">
        <v>27</v>
      </c>
      <c r="H64" s="8" t="s">
        <v>115</v>
      </c>
      <c r="I64" s="8" t="s">
        <v>45</v>
      </c>
      <c r="J64" s="8" t="s">
        <v>14</v>
      </c>
      <c r="K64" s="12" t="s">
        <v>111</v>
      </c>
      <c r="L64" s="11" t="s">
        <v>266</v>
      </c>
      <c r="M64" s="8" t="s">
        <v>51</v>
      </c>
      <c r="N64" s="12"/>
      <c r="O64" s="14"/>
      <c r="P64" s="14"/>
      <c r="Q64" s="14"/>
      <c r="R64" s="14"/>
      <c r="S64" s="14"/>
      <c r="T64" s="14"/>
      <c r="U64" s="14"/>
    </row>
    <row r="65" ht="33.0" customHeight="1">
      <c r="A65" s="37" t="s">
        <v>267</v>
      </c>
      <c r="B65" s="8" t="s">
        <v>8</v>
      </c>
      <c r="C65" s="9" t="s">
        <v>16</v>
      </c>
      <c r="D65" s="36" t="s">
        <v>268</v>
      </c>
      <c r="E65" s="42" t="s">
        <v>11</v>
      </c>
      <c r="F65" s="12" t="s">
        <v>13</v>
      </c>
      <c r="G65" s="8" t="s">
        <v>269</v>
      </c>
      <c r="H65" s="8" t="s">
        <v>270</v>
      </c>
      <c r="I65" s="8" t="s">
        <v>14</v>
      </c>
      <c r="J65" s="8" t="s">
        <v>45</v>
      </c>
      <c r="K65" s="11" t="s">
        <v>58</v>
      </c>
      <c r="L65" s="42" t="s">
        <v>271</v>
      </c>
      <c r="M65" s="11" t="s">
        <v>272</v>
      </c>
      <c r="N65" s="11" t="s">
        <v>273</v>
      </c>
      <c r="O65" s="64"/>
      <c r="P65" s="64"/>
      <c r="Q65" s="64"/>
      <c r="R65" s="64"/>
      <c r="S65" s="64"/>
      <c r="T65" s="64"/>
      <c r="U65" s="64"/>
    </row>
    <row r="66" ht="33.0" customHeight="1">
      <c r="A66" s="37" t="s">
        <v>274</v>
      </c>
      <c r="B66" s="8" t="s">
        <v>8</v>
      </c>
      <c r="C66" s="9" t="s">
        <v>16</v>
      </c>
      <c r="D66" s="36" t="s">
        <v>275</v>
      </c>
      <c r="E66" s="42" t="s">
        <v>11</v>
      </c>
      <c r="F66" s="12" t="s">
        <v>13</v>
      </c>
      <c r="G66" s="42" t="s">
        <v>276</v>
      </c>
      <c r="H66" s="8"/>
      <c r="I66" s="8"/>
      <c r="J66" s="12"/>
      <c r="K66" s="12"/>
      <c r="L66" s="12"/>
      <c r="M66" s="12"/>
      <c r="N66" s="12"/>
      <c r="O66" s="14"/>
      <c r="P66" s="14"/>
      <c r="Q66" s="14"/>
      <c r="R66" s="14"/>
      <c r="S66" s="14"/>
      <c r="T66" s="14"/>
      <c r="U66" s="14"/>
    </row>
    <row r="67" ht="45.75" customHeight="1">
      <c r="A67" s="37" t="s">
        <v>277</v>
      </c>
      <c r="B67" s="8" t="s">
        <v>8</v>
      </c>
      <c r="C67" s="9" t="s">
        <v>16</v>
      </c>
      <c r="D67" s="36" t="s">
        <v>278</v>
      </c>
      <c r="E67" s="8" t="s">
        <v>11</v>
      </c>
      <c r="F67" s="42" t="s">
        <v>27</v>
      </c>
      <c r="G67" s="42" t="s">
        <v>13</v>
      </c>
      <c r="H67" s="42" t="s">
        <v>279</v>
      </c>
      <c r="I67" s="42" t="s">
        <v>58</v>
      </c>
      <c r="J67" s="11" t="s">
        <v>280</v>
      </c>
      <c r="K67" s="11" t="s">
        <v>142</v>
      </c>
      <c r="L67" s="11"/>
      <c r="M67" s="11"/>
      <c r="N67" s="11"/>
      <c r="O67" s="64"/>
      <c r="P67" s="64"/>
      <c r="Q67" s="64"/>
      <c r="R67" s="64"/>
      <c r="S67" s="64"/>
      <c r="T67" s="64"/>
      <c r="U67" s="64"/>
    </row>
    <row r="68" ht="33.0" customHeight="1">
      <c r="A68" s="37" t="s">
        <v>281</v>
      </c>
      <c r="B68" s="8" t="s">
        <v>8</v>
      </c>
      <c r="C68" s="9" t="s">
        <v>16</v>
      </c>
      <c r="D68" s="36" t="s">
        <v>282</v>
      </c>
      <c r="E68" s="42" t="s">
        <v>11</v>
      </c>
      <c r="F68" s="42" t="s">
        <v>13</v>
      </c>
      <c r="G68" s="42" t="s">
        <v>283</v>
      </c>
      <c r="H68" s="8" t="s">
        <v>14</v>
      </c>
      <c r="I68" s="42" t="s">
        <v>58</v>
      </c>
      <c r="J68" s="12" t="s">
        <v>45</v>
      </c>
      <c r="K68" s="12"/>
      <c r="L68" s="12"/>
      <c r="M68" s="12"/>
      <c r="N68" s="12"/>
      <c r="O68" s="14"/>
      <c r="P68" s="14"/>
      <c r="Q68" s="14"/>
      <c r="R68" s="14"/>
      <c r="S68" s="14"/>
      <c r="T68" s="14"/>
      <c r="U68" s="14"/>
    </row>
    <row r="69" ht="45.75" customHeight="1">
      <c r="A69" s="37" t="s">
        <v>284</v>
      </c>
      <c r="B69" s="8" t="s">
        <v>8</v>
      </c>
      <c r="C69" s="9" t="s">
        <v>16</v>
      </c>
      <c r="D69" s="36" t="s">
        <v>285</v>
      </c>
      <c r="E69" s="42" t="s">
        <v>11</v>
      </c>
      <c r="F69" s="42" t="s">
        <v>13</v>
      </c>
      <c r="G69" s="42" t="s">
        <v>286</v>
      </c>
      <c r="H69" s="8" t="s">
        <v>45</v>
      </c>
      <c r="I69" s="42" t="s">
        <v>58</v>
      </c>
      <c r="J69" s="11" t="s">
        <v>287</v>
      </c>
      <c r="K69" s="12"/>
      <c r="L69" s="12"/>
      <c r="M69" s="12"/>
      <c r="N69" s="12"/>
      <c r="O69" s="14"/>
      <c r="P69" s="14"/>
      <c r="Q69" s="14"/>
      <c r="R69" s="14"/>
      <c r="S69" s="14"/>
      <c r="T69" s="14"/>
      <c r="U69" s="14"/>
    </row>
  </sheetData>
  <mergeCells count="6">
    <mergeCell ref="A1:D1"/>
    <mergeCell ref="A28:D28"/>
    <mergeCell ref="E28:U28"/>
    <mergeCell ref="A60:D60"/>
    <mergeCell ref="E1:M1"/>
    <mergeCell ref="E60:N60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6" max="6" width="29.88"/>
  </cols>
  <sheetData>
    <row r="4">
      <c r="D4" s="30"/>
    </row>
    <row r="5">
      <c r="F5" s="74" t="s">
        <v>288</v>
      </c>
    </row>
    <row r="6">
      <c r="F6" s="74" t="s">
        <v>289</v>
      </c>
    </row>
    <row r="7">
      <c r="F7" s="74" t="s">
        <v>290</v>
      </c>
    </row>
    <row r="8">
      <c r="F8" s="74" t="s">
        <v>291</v>
      </c>
    </row>
    <row r="9">
      <c r="F9" s="74" t="s">
        <v>292</v>
      </c>
    </row>
    <row r="10">
      <c r="F10" s="74" t="s">
        <v>293</v>
      </c>
    </row>
    <row r="11">
      <c r="F11" s="74" t="s">
        <v>294</v>
      </c>
    </row>
    <row r="12">
      <c r="F12" s="74" t="s">
        <v>295</v>
      </c>
    </row>
    <row r="13">
      <c r="F13" s="74" t="s">
        <v>296</v>
      </c>
    </row>
    <row r="14">
      <c r="F14" s="74" t="s">
        <v>297</v>
      </c>
    </row>
    <row r="15">
      <c r="F15" s="74" t="s">
        <v>298</v>
      </c>
    </row>
    <row r="16">
      <c r="F16" s="74" t="s">
        <v>299</v>
      </c>
    </row>
    <row r="17">
      <c r="F17" s="74" t="s">
        <v>300</v>
      </c>
    </row>
    <row r="18">
      <c r="F18" s="74" t="s">
        <v>301</v>
      </c>
    </row>
    <row r="19">
      <c r="F19" s="74" t="s">
        <v>302</v>
      </c>
    </row>
    <row r="20">
      <c r="F20" s="74" t="s">
        <v>303</v>
      </c>
    </row>
    <row r="21">
      <c r="F21" s="74" t="s">
        <v>304</v>
      </c>
    </row>
    <row r="22">
      <c r="F22" s="74" t="s">
        <v>305</v>
      </c>
    </row>
    <row r="23">
      <c r="F23" s="74" t="s">
        <v>306</v>
      </c>
    </row>
    <row r="24">
      <c r="F24" s="74" t="s">
        <v>307</v>
      </c>
    </row>
    <row r="25">
      <c r="F25" s="74" t="s">
        <v>308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0.88"/>
    <col customWidth="1" min="2" max="2" width="33.13"/>
    <col hidden="1" min="3" max="3" width="12.63"/>
    <col customWidth="1" hidden="1" min="4" max="4" width="18.38"/>
    <col customWidth="1" hidden="1" min="5" max="5" width="58.13"/>
    <col customWidth="1" min="7" max="7" width="19.0"/>
    <col customWidth="1" min="8" max="8" width="58.13"/>
    <col customWidth="1" min="10" max="10" width="34.0"/>
  </cols>
  <sheetData>
    <row r="1">
      <c r="A1" s="75" t="s">
        <v>309</v>
      </c>
      <c r="B1" s="3"/>
      <c r="D1" s="76"/>
      <c r="E1" s="76"/>
      <c r="G1" s="77" t="s">
        <v>310</v>
      </c>
      <c r="H1" s="2"/>
      <c r="I1" s="2"/>
      <c r="J1" s="3"/>
      <c r="O1" s="78"/>
    </row>
    <row r="2">
      <c r="A2" s="79" t="s">
        <v>311</v>
      </c>
      <c r="B2" s="79" t="s">
        <v>312</v>
      </c>
      <c r="D2" s="76" t="s">
        <v>313</v>
      </c>
      <c r="E2" s="76" t="s">
        <v>314</v>
      </c>
      <c r="G2" s="80" t="s">
        <v>312</v>
      </c>
      <c r="H2" s="80" t="s">
        <v>314</v>
      </c>
      <c r="I2" s="80" t="s">
        <v>315</v>
      </c>
      <c r="J2" s="80" t="s">
        <v>316</v>
      </c>
      <c r="O2" s="78"/>
    </row>
    <row r="3">
      <c r="A3" s="81" t="s">
        <v>69</v>
      </c>
      <c r="B3" s="82" t="str">
        <f>IFERROR(__xludf.DUMMYFUNCTION("SORT(FLATTEN(FILTER('CATE SECUNDARIA'!E:K,'CATE SECUNDARIA'!A:A=A3)))"),"HISTORIA")</f>
        <v>HISTORIA</v>
      </c>
      <c r="D3" s="83" t="s">
        <v>58</v>
      </c>
      <c r="E3" s="74" t="str">
        <f>IFERROR(__xludf.DUMMYFUNCTION("SORT(FLATTEN(FILTER('CATE SECUNDARIA'!$A:$A,D3='CATE SECUNDARIA'!$E:$E),FILTER('CATE SECUNDARIA'!$A:$A,D3='CATE SECUNDARIA'!$F:$F),FILTER('CATE SECUNDARIA'!$A:$A,D3='CATE SECUNDARIA'!$G:$G),FILTER('CATE SECUNDARIA'!$A:$A,D3='CATE SECUNDARIA'!$H:$H),FILTER"&amp;"('CATE SECUNDARIA'!$A:$A,D3='CATE SECUNDARIA'!$I:$I),FILTER('CATE SECUNDARIA'!$A:$A,D3='CATE SECUNDARIA'!$J:$J),FILTER('CATE SECUNDARIA'!$A:$A,D3='CATE SECUNDARIA'!$K:$K),FILTER('CATE SECUNDARIA'!$A:$A,D3=#REF!),FILTER('CATE SECUNDARIA'!$A:$A,D3=#REF!),FI"&amp;"LTER('CATE SECUNDARIA'!$A:$A,D3=#REF!),FILTER('CATE SECUNDARIA'!$A:$A,D3=#REF!),FILTER('CATE SECUNDARIA'!$A:$A,D3=#REF!),FILTER('CATE SECUNDARIA'!$A:$A,D3=#REF!),FILTER('CATE SECUNDARIA'!$A:$A,D3=#REF!),FILTER('CATE SECUNDARIA'!$A:$A,D3=#REF!)))"),"Colegio Nº 09 DE 12 Justo José de Urquiza")</f>
        <v>Colegio Nº 09 DE 12 Justo José de Urquiza</v>
      </c>
      <c r="G3" s="81" t="s">
        <v>45</v>
      </c>
      <c r="H3" s="82" t="str">
        <f>IFERROR(__xludf.DUMMYFUNCTION("SORT((QUERY('CATE SECUNDARIA'!A:K,""SELECT A, C, D WHERE (E = '""&amp;$G$3&amp;""' OR G = '""&amp;$G$3&amp;""' OR F = '""&amp;$G$3&amp;""' OR G = '""&amp;$G$3&amp;""' OR H = '""&amp;$G$3&amp;""' OR I = '""&amp;$G$3&amp;""' OR J = '""&amp;G3&amp;""' OR K = '""&amp;G3&amp;""' OR K = '""&amp;G3&amp;""' OR L = '""&amp;G3&amp;""' OR M = '"&amp;"""&amp;G3&amp;""' OR N = '""&amp;G3&amp;""' OR O = '""&amp;G3&amp;""' OR P = '""&amp;G3&amp;""' OR P = '""&amp;G3&amp;""' OR Q = '""&amp;$G$3&amp;""' OR R = '""&amp;$G$3&amp;""' OR S = '""&amp;$G$3&amp;""') AND (E = '""&amp;$G$4&amp;""' OR G = '""&amp;$G$4&amp;""' OR F = '""&amp;$G$4&amp;""' OR G = '""&amp;$G$4&amp;""' OR H = '""&amp;$G$4&amp;""' OR I = '"""&amp;"&amp;$G$4&amp;""' OR J = '""&amp;$G$4&amp;""' OR K = '""&amp;$G$4&amp;""' OR K = '""&amp;$G$4&amp;""' OR L = '""&amp;$G$4&amp;""' OR M = '""&amp;$G$4&amp;""' OR N = '""&amp;$G$4&amp;""' OR O = '""&amp;$G$4&amp;""' OR P = '""&amp;$G$4&amp;""' OR P = '""&amp;$G$4&amp;""' OR Q = '""&amp;$G$4&amp;""' OR R = '""&amp;$G$4&amp;""' OR S = '""&amp;$G$4&amp;""')AND ("&amp;"E = '""&amp;$G$5&amp;""' OR G = '""&amp;$G$5&amp;""' OR F = '""&amp;$G$5&amp;""' OR G = '""&amp;$G$5&amp;""' OR H = '""&amp;$G$5&amp;""' OR I = '""&amp;$G$5&amp;""' OR J = '""&amp;$G$5&amp;""' OR K = '""&amp;$G$5&amp;""' OR K = '""&amp;$G$5&amp;""' OR L = '""&amp;$G$5&amp;""' OR M = '""&amp;$G$5&amp;""' OR N = '""&amp;$G$5&amp;""' OR O = '""&amp;$G$5&amp;"""&amp;"' OR P = '""&amp;$G$5&amp;""' OR P = '""&amp;$G$5&amp;""' OR Q = '""&amp;$G$5&amp;""' OR R = '""&amp;$G$5&amp;""' OR S = '""&amp;$G$5&amp;""')"")))"),"#VALUE!")</f>
        <v>#VALUE!</v>
      </c>
      <c r="I3" s="82"/>
      <c r="J3" s="82"/>
      <c r="N3" s="74" t="str">
        <f>IFERROR(__xludf.DUMMYFUNCTION("sORT(UNIQUE(FLATTEN('CATE SECUNDARIA'!E3:K26,'CATE SECUNDARIA'!E30:K58,'CATE SECUNDARIA'!E62:K69)))"),"- ADMINISTRACION
- CONTABILIDAD I
- PRACTICAS DE OFICINA")</f>
        <v>- ADMINISTRACION
- CONTABILIDAD I
- PRACTICAS DE OFICINA</v>
      </c>
      <c r="O3" s="78" t="str">
        <f>IFERROR(__xludf.DUMMYFUNCTION("sORT(UNIQUE(FLATTEN('CATE SECUNDARIA'!A62:A69,'CATE SECUNDARIA'!A30:A58,'CATE SECUNDARIA'!A3:A26)))"),"Colegio Nº 02 DE 01 Domingo Faustino Sarmiento")</f>
        <v>Colegio Nº 02 DE 01 Domingo Faustino Sarmiento</v>
      </c>
    </row>
    <row r="4">
      <c r="A4" s="82"/>
      <c r="B4" s="82" t="str">
        <f>IFERROR(__xludf.DUMMYFUNCTION("""COMPUTED_VALUE"""),"INGLÉS")</f>
        <v>INGLÉS</v>
      </c>
      <c r="E4" s="74" t="str">
        <f>IFERROR(__xludf.DUMMYFUNCTION("""COMPUTED_VALUE"""),"Colegio Nº 12 DE 15 Reconquista")</f>
        <v>Colegio Nº 12 DE 15 Reconquista</v>
      </c>
      <c r="G4" s="81" t="s">
        <v>11</v>
      </c>
      <c r="H4" s="82"/>
      <c r="I4" s="82"/>
      <c r="J4" s="82"/>
      <c r="N4" s="74" t="str">
        <f>IFERROR(__xludf.DUMMYFUNCTION("""COMPUTED_VALUE"""),"- ECONOMIA
- ORGANIZACIONES")</f>
        <v>- ECONOMIA
- ORGANIZACIONES</v>
      </c>
      <c r="O4" s="74" t="str">
        <f>IFERROR(__xludf.DUMMYFUNCTION("""COMPUTED_VALUE"""),"Colegio Nº 04 DE 09 Nicolás Avellaneda")</f>
        <v>Colegio Nº 04 DE 09 Nicolás Avellaneda</v>
      </c>
    </row>
    <row r="5">
      <c r="A5" s="82"/>
      <c r="B5" s="82" t="str">
        <f>IFERROR(__xludf.DUMMYFUNCTION("""COMPUTED_VALUE"""),"MATEMÁTICA")</f>
        <v>MATEMÁTICA</v>
      </c>
      <c r="E5" s="74" t="str">
        <f>IFERROR(__xludf.DUMMYFUNCTION("""COMPUTED_VALUE"""),"Colegio Nº 13 DE 18 Cnel. Tomás Espora")</f>
        <v>Colegio Nº 13 DE 18 Cnel. Tomás Espora</v>
      </c>
      <c r="G5" s="81"/>
      <c r="H5" s="82"/>
      <c r="I5" s="82"/>
      <c r="J5" s="82"/>
      <c r="N5" s="74" t="str">
        <f>IFERROR(__xludf.DUMMYFUNCTION("""COMPUTED_VALUE"""),"- ECONOMIA
- CONTABILIDAD II
- MACROECONOMIA")</f>
        <v>- ECONOMIA
- CONTABILIDAD II
- MACROECONOMIA</v>
      </c>
      <c r="O5" s="74" t="str">
        <f>IFERROR(__xludf.DUMMYFUNCTION("""COMPUTED_VALUE"""),"Colegio Nº 06 DE 02 Manuel Belgrano")</f>
        <v>Colegio Nº 06 DE 02 Manuel Belgrano</v>
      </c>
    </row>
    <row r="6">
      <c r="A6" s="82"/>
      <c r="B6" s="82" t="str">
        <f>IFERROR(__xludf.DUMMYFUNCTION("""COMPUTED_VALUE"""),"TECNOLOGÍA DE LA REPRESENTACIÓN")</f>
        <v>TECNOLOGÍA DE LA REPRESENTACIÓN</v>
      </c>
      <c r="E6" s="74" t="str">
        <f>IFERROR(__xludf.DUMMYFUNCTION("""COMPUTED_VALUE"""),"Colegio Nº 17 DE 07 Primera Junta")</f>
        <v>Colegio Nº 17 DE 07 Primera Junta</v>
      </c>
      <c r="G6" s="82"/>
      <c r="H6" s="82"/>
      <c r="I6" s="82"/>
      <c r="J6" s="82"/>
      <c r="N6" s="74" t="str">
        <f>IFERROR(__xludf.DUMMYFUNCTION("""COMPUTED_VALUE"""),"- MECANICA TECNICA
- MECANISMOS
- TEC. DE LA FABRICACIÓN")</f>
        <v>- MECANICA TECNICA
- MECANISMOS
- TEC. DE LA FABRICACIÓN</v>
      </c>
      <c r="O6" s="74" t="str">
        <f>IFERROR(__xludf.DUMMYFUNCTION("""COMPUTED_VALUE"""),"Colegio Nº 07 DE 03 Juan Martín de Pueyrredon")</f>
        <v>Colegio Nº 07 DE 03 Juan Martín de Pueyrredon</v>
      </c>
    </row>
    <row r="7">
      <c r="A7" s="82"/>
      <c r="B7" s="82"/>
      <c r="E7" s="74" t="str">
        <f>IFERROR(__xludf.DUMMYFUNCTION("""COMPUTED_VALUE"""),"Colegio Nº 18 DE 18 Dr. Alberto Larroque")</f>
        <v>Colegio Nº 18 DE 18 Dr. Alberto Larroque</v>
      </c>
      <c r="G7" s="82"/>
      <c r="H7" s="82"/>
      <c r="I7" s="82"/>
      <c r="J7" s="82"/>
      <c r="N7" s="74" t="str">
        <f>IFERROR(__xludf.DUMMYFUNCTION("""COMPUTED_VALUE"""),"- RESISTENCIA DE LOS MATERIALES 
- PROYECTO MECANICO")</f>
        <v>- RESISTENCIA DE LOS MATERIALES 
- PROYECTO MECANICO</v>
      </c>
      <c r="O7" s="74" t="str">
        <f>IFERROR(__xludf.DUMMYFUNCTION("""COMPUTED_VALUE"""),"Colegio Nº 09 DE 12 Justo José de Urquiza")</f>
        <v>Colegio Nº 09 DE 12 Justo José de Urquiza</v>
      </c>
    </row>
    <row r="8">
      <c r="A8" s="82"/>
      <c r="B8" s="82"/>
      <c r="E8" s="74" t="str">
        <f>IFERROR(__xludf.DUMMYFUNCTION("""COMPUTED_VALUE"""),"Esc. de Comercio Nº 35 DE 21 Leopoldo Marechal")</f>
        <v>Esc. de Comercio Nº 35 DE 21 Leopoldo Marechal</v>
      </c>
      <c r="G8" s="82"/>
      <c r="H8" s="82"/>
      <c r="I8" s="82"/>
      <c r="J8" s="82"/>
      <c r="N8" s="74" t="str">
        <f>IFERROR(__xludf.DUMMYFUNCTION("""COMPUTED_VALUE"""),"-QUÍMICA ORGÁNICA I
-QUÍMICA ORGÁNICA Y BIOORGÁNICA 6°")</f>
        <v>-QUÍMICA ORGÁNICA I
-QUÍMICA ORGÁNICA Y BIOORGÁNICA 6°</v>
      </c>
      <c r="O8" s="74" t="str">
        <f>IFERROR(__xludf.DUMMYFUNCTION("""COMPUTED_VALUE"""),"Colegio Nº 12 DE 15 Reconquista")</f>
        <v>Colegio Nº 12 DE 15 Reconquista</v>
      </c>
    </row>
    <row r="9">
      <c r="A9" s="82"/>
      <c r="B9" s="82"/>
      <c r="E9" s="74" t="str">
        <f>IFERROR(__xludf.DUMMYFUNCTION("""COMPUTED_VALUE"""),"Esc. de Educacion Media Nº 01 DE 20 Biblioteca del Congreso de la Nación")</f>
        <v>Esc. de Educacion Media Nº 01 DE 20 Biblioteca del Congreso de la Nación</v>
      </c>
      <c r="G9" s="82"/>
      <c r="H9" s="82"/>
      <c r="I9" s="82"/>
      <c r="J9" s="82"/>
      <c r="N9" s="74" t="str">
        <f>IFERROR(__xludf.DUMMYFUNCTION("""COMPUTED_VALUE"""),"ANÁLISIS DE CIRCUITOS ELÉCTRONICOS")</f>
        <v>ANÁLISIS DE CIRCUITOS ELÉCTRONICOS</v>
      </c>
      <c r="O9" s="74" t="str">
        <f>IFERROR(__xludf.DUMMYFUNCTION("""COMPUTED_VALUE"""),"Colegio Nº 13 DE 18 Cnel. Tomás Espora")</f>
        <v>Colegio Nº 13 DE 18 Cnel. Tomás Espora</v>
      </c>
    </row>
    <row r="10">
      <c r="A10" s="82"/>
      <c r="B10" s="82"/>
      <c r="E10" s="74" t="str">
        <f>IFERROR(__xludf.DUMMYFUNCTION("""COMPUTED_VALUE"""),"Esc. de Educación Media Nº 01 DE 21")</f>
        <v>Esc. de Educación Media Nº 01 DE 21</v>
      </c>
      <c r="G10" s="82"/>
      <c r="H10" s="82"/>
      <c r="I10" s="82"/>
      <c r="J10" s="82"/>
      <c r="N10" s="74" t="str">
        <f>IFERROR(__xludf.DUMMYFUNCTION("""COMPUTED_VALUE"""),"ANTROPOLOGÍA ")</f>
        <v>ANTROPOLOGÍA </v>
      </c>
      <c r="O10" s="74" t="str">
        <f>IFERROR(__xludf.DUMMYFUNCTION("""COMPUTED_VALUE"""),"Colegio Nº 17 DE 07 Primera Junta")</f>
        <v>Colegio Nº 17 DE 07 Primera Junta</v>
      </c>
    </row>
    <row r="11">
      <c r="A11" s="82"/>
      <c r="B11" s="82"/>
      <c r="E11" s="74" t="str">
        <f>IFERROR(__xludf.DUMMYFUNCTION("""COMPUTED_VALUE"""),"Esc. de Educacion Media Nº 02 DE 17 Rumania")</f>
        <v>Esc. de Educacion Media Nº 02 DE 17 Rumania</v>
      </c>
      <c r="G11" s="82"/>
      <c r="H11" s="82"/>
      <c r="I11" s="82"/>
      <c r="J11" s="82"/>
      <c r="N11" s="74" t="str">
        <f>IFERROR(__xludf.DUMMYFUNCTION("""COMPUTED_VALUE"""),"ANTROPOLOGÍA CULTURAL ")</f>
        <v>ANTROPOLOGÍA CULTURAL </v>
      </c>
      <c r="O11" s="74" t="str">
        <f>IFERROR(__xludf.DUMMYFUNCTION("""COMPUTED_VALUE"""),"Colegio Nº 18 DE 18 Dr. Alberto Larroque")</f>
        <v>Colegio Nº 18 DE 18 Dr. Alberto Larroque</v>
      </c>
    </row>
    <row r="12">
      <c r="A12" s="82"/>
      <c r="B12" s="82"/>
      <c r="E12" s="74" t="str">
        <f>IFERROR(__xludf.DUMMYFUNCTION("""COMPUTED_VALUE"""),"Esc. de Educacion Media Nº 02 DE 20")</f>
        <v>Esc. de Educacion Media Nº 02 DE 20</v>
      </c>
      <c r="G12" s="82"/>
      <c r="H12" s="82"/>
      <c r="I12" s="82"/>
      <c r="J12" s="82"/>
      <c r="N12" s="74" t="str">
        <f>IFERROR(__xludf.DUMMYFUNCTION("""COMPUTED_VALUE"""),"BIOLOGIA")</f>
        <v>BIOLOGIA</v>
      </c>
      <c r="O12" s="74" t="str">
        <f>IFERROR(__xludf.DUMMYFUNCTION("""COMPUTED_VALUE"""),"Esc. de Arte Cerámico N° 2 Fernando Arranz")</f>
        <v>Esc. de Arte Cerámico N° 2 Fernando Arranz</v>
      </c>
    </row>
    <row r="13">
      <c r="A13" s="82"/>
      <c r="B13" s="82"/>
      <c r="E13" s="74" t="str">
        <f>IFERROR(__xludf.DUMMYFUNCTION("""COMPUTED_VALUE"""),"Esc. de Educación Media Nº 06 DE 05")</f>
        <v>Esc. de Educación Media Nº 06 DE 05</v>
      </c>
      <c r="G13" s="82"/>
      <c r="H13" s="82"/>
      <c r="I13" s="82"/>
      <c r="J13" s="82"/>
      <c r="N13" s="74" t="str">
        <f>IFERROR(__xludf.DUMMYFUNCTION("""COMPUTED_VALUE"""),"BIOLOGÍA")</f>
        <v>BIOLOGÍA</v>
      </c>
      <c r="O13" s="74" t="str">
        <f>IFERROR(__xludf.DUMMYFUNCTION("""COMPUTED_VALUE"""),"Esc. de Comercio Nº 03 DE 7 Hipólito Vieytes")</f>
        <v>Esc. de Comercio Nº 03 DE 7 Hipólito Vieytes</v>
      </c>
    </row>
    <row r="14">
      <c r="A14" s="82"/>
      <c r="B14" s="82"/>
      <c r="E14" s="74" t="str">
        <f>IFERROR(__xludf.DUMMYFUNCTION("""COMPUTED_VALUE"""),"Esc. Normal Superior N° 05 Gral. Don Martín Miguel de Güemes")</f>
        <v>Esc. Normal Superior N° 05 Gral. Don Martín Miguel de Güemes</v>
      </c>
      <c r="G14" s="82"/>
      <c r="H14" s="82"/>
      <c r="I14" s="82"/>
      <c r="J14" s="82"/>
      <c r="N14" s="74" t="str">
        <f>IFERROR(__xludf.DUMMYFUNCTION("""COMPUTED_VALUE"""),"CALCULOS")</f>
        <v>CALCULOS</v>
      </c>
      <c r="O14" s="74" t="str">
        <f>IFERROR(__xludf.DUMMYFUNCTION("""COMPUTED_VALUE"""),"Esc. de Comercio Nº 05 DE 03 José de San Martín ")</f>
        <v>Esc. de Comercio Nº 05 DE 03 José de San Martín </v>
      </c>
    </row>
    <row r="15">
      <c r="A15" s="82"/>
      <c r="B15" s="82"/>
      <c r="E15" s="74" t="str">
        <f>IFERROR(__xludf.DUMMYFUNCTION("""COMPUTED_VALUE"""),"Esc. Normal Superior N° 07 José María Torres")</f>
        <v>Esc. Normal Superior N° 07 José María Torres</v>
      </c>
      <c r="G15" s="82"/>
      <c r="H15" s="82"/>
      <c r="I15" s="82"/>
      <c r="J15" s="82"/>
      <c r="N15" s="74" t="str">
        <f>IFERROR(__xludf.DUMMYFUNCTION("""COMPUTED_VALUE"""),"CICLO SUPERIOR COMPUTACIÓN")</f>
        <v>CICLO SUPERIOR COMPUTACIÓN</v>
      </c>
      <c r="O15" s="74" t="str">
        <f>IFERROR(__xludf.DUMMYFUNCTION("""COMPUTED_VALUE"""),"Esc. de Comercio Nº 06 DE 13 América")</f>
        <v>Esc. de Comercio Nº 06 DE 13 América</v>
      </c>
    </row>
    <row r="16">
      <c r="A16" s="82"/>
      <c r="B16" s="82"/>
      <c r="E16" s="74" t="str">
        <f>IFERROR(__xludf.DUMMYFUNCTION("""COMPUTED_VALUE"""),"Esc. Normal Superior N° 10 Juan Bautista Alberdi")</f>
        <v>Esc. Normal Superior N° 10 Juan Bautista Alberdi</v>
      </c>
      <c r="G16" s="82"/>
      <c r="H16" s="82"/>
      <c r="I16" s="82"/>
      <c r="J16" s="82"/>
      <c r="N16" s="74" t="str">
        <f>IFERROR(__xludf.DUMMYFUNCTION("""COMPUTED_VALUE"""),"CICLO SUPERIOR ELECTRICA")</f>
        <v>CICLO SUPERIOR ELECTRICA</v>
      </c>
      <c r="O16" s="74" t="str">
        <f>IFERROR(__xludf.DUMMYFUNCTION("""COMPUTED_VALUE"""),"Esc. de Comercio Nº 11 DE 17 Dr. José Peralta")</f>
        <v>Esc. de Comercio Nº 11 DE 17 Dr. José Peralta</v>
      </c>
    </row>
    <row r="17">
      <c r="A17" s="82"/>
      <c r="B17" s="82"/>
      <c r="E17" s="74" t="str">
        <f>IFERROR(__xludf.DUMMYFUNCTION("""COMPUTED_VALUE"""),"Esc. Técnica Nº 03 DE 09 Maria Sanchez de Thompson")</f>
        <v>Esc. Técnica Nº 03 DE 09 Maria Sanchez de Thompson</v>
      </c>
      <c r="G17" s="82"/>
      <c r="H17" s="82"/>
      <c r="I17" s="82"/>
      <c r="J17" s="82"/>
      <c r="N17" s="74" t="str">
        <f>IFERROR(__xludf.DUMMYFUNCTION("""COMPUTED_VALUE"""),"CIRCUITOS ELÉCTRICOS Y MAGNÉTICOS")</f>
        <v>CIRCUITOS ELÉCTRICOS Y MAGNÉTICOS</v>
      </c>
      <c r="O17" s="74" t="str">
        <f>IFERROR(__xludf.DUMMYFUNCTION("""COMPUTED_VALUE"""),"Esc. de Comercio Nº 15 DE 15 Dra. Cecilia Grierson")</f>
        <v>Esc. de Comercio Nº 15 DE 15 Dra. Cecilia Grierson</v>
      </c>
    </row>
    <row r="18">
      <c r="A18" s="82"/>
      <c r="B18" s="82"/>
      <c r="E18" s="74" t="str">
        <f>IFERROR(__xludf.DUMMYFUNCTION("""COMPUTED_VALUE"""),"Esc. Técnica Nº 05 DE 11 Maria de los Remedios de Escalada de San Martin")</f>
        <v>Esc. Técnica Nº 05 DE 11 Maria de los Remedios de Escalada de San Martin</v>
      </c>
      <c r="G18" s="82"/>
      <c r="H18" s="82"/>
      <c r="I18" s="82"/>
      <c r="J18" s="82"/>
      <c r="N18" s="74" t="str">
        <f>IFERROR(__xludf.DUMMYFUNCTION("""COMPUTED_VALUE"""),"COMUNICACIÓN")</f>
        <v>COMUNICACIÓN</v>
      </c>
      <c r="O18" s="74" t="str">
        <f>IFERROR(__xludf.DUMMYFUNCTION("""COMPUTED_VALUE"""),"Esc. de Comercio Nº 30 DE 18 Dr. Esteban Agustín Gascon")</f>
        <v>Esc. de Comercio Nº 30 DE 18 Dr. Esteban Agustín Gascon</v>
      </c>
    </row>
    <row r="19">
      <c r="A19" s="82"/>
      <c r="B19" s="82"/>
      <c r="E19" s="74" t="str">
        <f>IFERROR(__xludf.DUMMYFUNCTION("""COMPUTED_VALUE"""),"Esc. Técnica Nº 09 DE 07 Ing. Luis A. Huergo")</f>
        <v>Esc. Técnica Nº 09 DE 07 Ing. Luis A. Huergo</v>
      </c>
      <c r="G19" s="82"/>
      <c r="H19" s="82"/>
      <c r="I19" s="82"/>
      <c r="J19" s="82"/>
      <c r="N19" s="74" t="str">
        <f>IFERROR(__xludf.DUMMYFUNCTION("""COMPUTED_VALUE"""),"CONT. PATRIMONIAL Y DE GESTIÓN ")</f>
        <v>CONT. PATRIMONIAL Y DE GESTIÓN </v>
      </c>
      <c r="O19" s="74" t="str">
        <f>IFERROR(__xludf.DUMMYFUNCTION("""COMPUTED_VALUE"""),"Esc. de Comercio Nº 32 DE 13 José León Suarez")</f>
        <v>Esc. de Comercio Nº 32 DE 13 José León Suarez</v>
      </c>
    </row>
    <row r="20">
      <c r="A20" s="82"/>
      <c r="B20" s="82"/>
      <c r="E20" s="74" t="str">
        <f>IFERROR(__xludf.DUMMYFUNCTION("""COMPUTED_VALUE"""),"Esc. Técnica Nº 13 DE 21 Ing. Jose Luis Delpini")</f>
        <v>Esc. Técnica Nº 13 DE 21 Ing. Jose Luis Delpini</v>
      </c>
      <c r="G20" s="82"/>
      <c r="H20" s="82"/>
      <c r="I20" s="82"/>
      <c r="J20" s="82"/>
      <c r="N20" s="74" t="str">
        <f>IFERROR(__xludf.DUMMYFUNCTION("""COMPUTED_VALUE"""),"CONTABILIDAD")</f>
        <v>CONTABILIDAD</v>
      </c>
      <c r="O20" s="74" t="str">
        <f>IFERROR(__xludf.DUMMYFUNCTION("""COMPUTED_VALUE"""),"Esc. de Comercio Nº 35 DE 21 Leopoldo Marechal")</f>
        <v>Esc. de Comercio Nº 35 DE 21 Leopoldo Marechal</v>
      </c>
    </row>
    <row r="21">
      <c r="A21" s="82"/>
      <c r="B21" s="82"/>
      <c r="E21" s="74" t="str">
        <f>IFERROR(__xludf.DUMMYFUNCTION("""COMPUTED_VALUE"""),"Esc. Técnica Nº 24 DE 17 Defensa de Buenos Aires")</f>
        <v>Esc. Técnica Nº 24 DE 17 Defensa de Buenos Aires</v>
      </c>
      <c r="G21" s="82"/>
      <c r="H21" s="82"/>
      <c r="I21" s="82"/>
      <c r="J21" s="82"/>
      <c r="N21" s="74" t="str">
        <f>IFERROR(__xludf.DUMMYFUNCTION("""COMPUTED_VALUE"""),"CONTABILIDAD I Y II")</f>
        <v>CONTABILIDAD I Y II</v>
      </c>
      <c r="O21" s="74" t="str">
        <f>IFERROR(__xludf.DUMMYFUNCTION("""COMPUTED_VALUE"""),"Esc. de Educacion Media Nº 01 DE 20 Biblioteca del Congreso de la Nación")</f>
        <v>Esc. de Educacion Media Nº 01 DE 20 Biblioteca del Congreso de la Nación</v>
      </c>
    </row>
    <row r="22">
      <c r="A22" s="82"/>
      <c r="B22" s="82"/>
      <c r="E22" s="74" t="str">
        <f>IFERROR(__xludf.DUMMYFUNCTION("""COMPUTED_VALUE"""),"Esc. Técnica Nº 33 DE 19 Fundición Maestranza del Plumerillo ")</f>
        <v>Esc. Técnica Nº 33 DE 19 Fundición Maestranza del Plumerillo </v>
      </c>
      <c r="G22" s="82"/>
      <c r="H22" s="82"/>
      <c r="I22" s="82"/>
      <c r="J22" s="82"/>
      <c r="N22" s="74" t="str">
        <f>IFERROR(__xludf.DUMMYFUNCTION("""COMPUTED_VALUE"""),"DERECHO")</f>
        <v>DERECHO</v>
      </c>
      <c r="O22" s="74" t="str">
        <f>IFERROR(__xludf.DUMMYFUNCTION("""COMPUTED_VALUE"""),"Esc. de Educación Media Nº 01 DE 21")</f>
        <v>Esc. de Educación Media Nº 01 DE 21</v>
      </c>
    </row>
    <row r="23">
      <c r="A23" s="82"/>
      <c r="B23" s="82"/>
      <c r="E23" s="74" t="str">
        <f>IFERROR(__xludf.DUMMYFUNCTION("""COMPUTED_VALUE"""),"Escuelas Técnicas Raggio")</f>
        <v>Escuelas Técnicas Raggio</v>
      </c>
      <c r="G23" s="82"/>
      <c r="H23" s="82"/>
      <c r="I23" s="82"/>
      <c r="J23" s="82"/>
      <c r="N23" s="74" t="str">
        <f>IFERROR(__xludf.DUMMYFUNCTION("""COMPUTED_VALUE"""),"DISEÑO")</f>
        <v>DISEÑO</v>
      </c>
      <c r="O23" s="74" t="str">
        <f>IFERROR(__xludf.DUMMYFUNCTION("""COMPUTED_VALUE"""),"Esc. de Educacion Media Nº 02 DE 17 Rumania")</f>
        <v>Esc. de Educacion Media Nº 02 DE 17 Rumania</v>
      </c>
    </row>
    <row r="24">
      <c r="A24" s="82"/>
      <c r="B24" s="82"/>
      <c r="E24" s="74" t="str">
        <f>IFERROR(__xludf.DUMMYFUNCTION("""COMPUTED_VALUE"""),"IES en Lenguas Vivas Juan Ramón Fernández")</f>
        <v>IES en Lenguas Vivas Juan Ramón Fernández</v>
      </c>
      <c r="G24" s="82"/>
      <c r="H24" s="82"/>
      <c r="I24" s="82"/>
      <c r="J24" s="82"/>
      <c r="N24" s="74" t="str">
        <f>IFERROR(__xludf.DUMMYFUNCTION("""COMPUTED_VALUE"""),"DISPOSITIVOS ELECTRÓNICOS")</f>
        <v>DISPOSITIVOS ELECTRÓNICOS</v>
      </c>
      <c r="O24" s="74" t="str">
        <f>IFERROR(__xludf.DUMMYFUNCTION("""COMPUTED_VALUE"""),"Esc. de Educacion Media Nº 02 DE 19 Arturo Jauretche")</f>
        <v>Esc. de Educacion Media Nº 02 DE 19 Arturo Jauretche</v>
      </c>
    </row>
    <row r="25">
      <c r="A25" s="82"/>
      <c r="B25" s="82"/>
      <c r="E25" s="74" t="str">
        <f>IFERROR(__xludf.DUMMYFUNCTION("""COMPUTED_VALUE"""),"Liceo Nº 05 DE 11 Pascual Guaglianone")</f>
        <v>Liceo Nº 05 DE 11 Pascual Guaglianone</v>
      </c>
      <c r="G25" s="82"/>
      <c r="H25" s="82"/>
      <c r="I25" s="82"/>
      <c r="J25" s="82"/>
      <c r="N25" s="74" t="str">
        <f>IFERROR(__xludf.DUMMYFUNCTION("""COMPUTED_VALUE"""),"ECONOMIA")</f>
        <v>ECONOMIA</v>
      </c>
      <c r="O25" s="74" t="str">
        <f>IFERROR(__xludf.DUMMYFUNCTION("""COMPUTED_VALUE"""),"Esc. de Educacion Media Nº 02 DE 20")</f>
        <v>Esc. de Educacion Media Nº 02 DE 20</v>
      </c>
    </row>
    <row r="26">
      <c r="A26" s="82"/>
      <c r="B26" s="82"/>
      <c r="E26" s="74" t="str">
        <f>IFERROR(__xludf.DUMMYFUNCTION("""COMPUTED_VALUE"""),"#N/A")</f>
        <v>#N/A</v>
      </c>
      <c r="G26" s="82"/>
      <c r="H26" s="82"/>
      <c r="I26" s="82"/>
      <c r="J26" s="82"/>
      <c r="N26" s="74" t="str">
        <f>IFERROR(__xludf.DUMMYFUNCTION("""COMPUTED_VALUE"""),"ECONOMÍA")</f>
        <v>ECONOMÍA</v>
      </c>
      <c r="O26" s="74" t="str">
        <f>IFERROR(__xludf.DUMMYFUNCTION("""COMPUTED_VALUE"""),"Esc. de Educación Media Nº 03 DE 04")</f>
        <v>Esc. de Educación Media Nº 03 DE 04</v>
      </c>
    </row>
    <row r="27">
      <c r="A27" s="82"/>
      <c r="B27" s="82"/>
      <c r="E27" s="74" t="str">
        <f>IFERROR(__xludf.DUMMYFUNCTION("""COMPUTED_VALUE"""),"#N/A")</f>
        <v>#N/A</v>
      </c>
      <c r="G27" s="82"/>
      <c r="H27" s="82"/>
      <c r="I27" s="82"/>
      <c r="J27" s="82"/>
      <c r="N27" s="74" t="str">
        <f>IFERROR(__xludf.DUMMYFUNCTION("""COMPUTED_VALUE"""),"ECONOMIA ")</f>
        <v>ECONOMIA </v>
      </c>
      <c r="O27" s="74" t="str">
        <f>IFERROR(__xludf.DUMMYFUNCTION("""COMPUTED_VALUE"""),"Esc. de Educacion Media Nº 04 DE 19 Homero Manzi")</f>
        <v>Esc. de Educacion Media Nº 04 DE 19 Homero Manzi</v>
      </c>
    </row>
    <row r="28">
      <c r="A28" s="82"/>
      <c r="B28" s="82"/>
      <c r="E28" s="74" t="str">
        <f>IFERROR(__xludf.DUMMYFUNCTION("""COMPUTED_VALUE"""),"#N/A")</f>
        <v>#N/A</v>
      </c>
      <c r="G28" s="82"/>
      <c r="H28" s="82"/>
      <c r="I28" s="82"/>
      <c r="J28" s="82"/>
      <c r="N28" s="74" t="str">
        <f>IFERROR(__xludf.DUMMYFUNCTION("""COMPUTED_VALUE"""),"ED. CIUDADANA ")</f>
        <v>ED. CIUDADANA </v>
      </c>
      <c r="O28" s="74" t="str">
        <f>IFERROR(__xludf.DUMMYFUNCTION("""COMPUTED_VALUE"""),"Esc. de Educacion Media Nº 05 DE 10 Héroes de Malvinas")</f>
        <v>Esc. de Educacion Media Nº 05 DE 10 Héroes de Malvinas</v>
      </c>
    </row>
    <row r="29">
      <c r="A29" s="82"/>
      <c r="B29" s="82"/>
      <c r="E29" s="74" t="str">
        <f>IFERROR(__xludf.DUMMYFUNCTION("""COMPUTED_VALUE"""),"#N/A")</f>
        <v>#N/A</v>
      </c>
      <c r="G29" s="82"/>
      <c r="H29" s="82"/>
      <c r="I29" s="82"/>
      <c r="J29" s="82"/>
      <c r="N29" s="74" t="str">
        <f>IFERROR(__xludf.DUMMYFUNCTION("""COMPUTED_VALUE"""),"EDUCACIÓN CIUDADANA ")</f>
        <v>EDUCACIÓN CIUDADANA </v>
      </c>
      <c r="O29" s="74" t="str">
        <f>IFERROR(__xludf.DUMMYFUNCTION("""COMPUTED_VALUE"""),"Esc. de Educacion Media Nº 06 DE 01 Padre Carlos Mugica")</f>
        <v>Esc. de Educacion Media Nº 06 DE 01 Padre Carlos Mugica</v>
      </c>
    </row>
    <row r="30">
      <c r="A30" s="82"/>
      <c r="B30" s="82"/>
      <c r="E30" s="74" t="str">
        <f>IFERROR(__xludf.DUMMYFUNCTION("""COMPUTED_VALUE"""),"#N/A")</f>
        <v>#N/A</v>
      </c>
      <c r="G30" s="82"/>
      <c r="H30" s="82"/>
      <c r="I30" s="82"/>
      <c r="J30" s="82"/>
      <c r="N30" s="74" t="str">
        <f>IFERROR(__xludf.DUMMYFUNCTION("""COMPUTED_VALUE"""),"EDUCACIÓN TECNOLÓGICA")</f>
        <v>EDUCACIÓN TECNOLÓGICA</v>
      </c>
      <c r="O30" s="74" t="str">
        <f>IFERROR(__xludf.DUMMYFUNCTION("""COMPUTED_VALUE"""),"Esc. de Educación Media Nº 06 DE 05")</f>
        <v>Esc. de Educación Media Nº 06 DE 05</v>
      </c>
    </row>
    <row r="31">
      <c r="A31" s="82"/>
      <c r="B31" s="82"/>
      <c r="E31" s="74" t="str">
        <f>IFERROR(__xludf.DUMMYFUNCTION("""COMPUTED_VALUE"""),"#N/A")</f>
        <v>#N/A</v>
      </c>
      <c r="G31" s="82"/>
      <c r="H31" s="82"/>
      <c r="I31" s="82"/>
      <c r="J31" s="82"/>
      <c r="N31" s="74" t="str">
        <f>IFERROR(__xludf.DUMMYFUNCTION("""COMPUTED_VALUE"""),"FILOSOFÍA")</f>
        <v>FILOSOFÍA</v>
      </c>
      <c r="O31" s="74" t="str">
        <f>IFERROR(__xludf.DUMMYFUNCTION("""COMPUTED_VALUE"""),"Esc. Normal Superior N° 04 Estanislao Severo Zeballos")</f>
        <v>Esc. Normal Superior N° 04 Estanislao Severo Zeballos</v>
      </c>
    </row>
    <row r="32">
      <c r="A32" s="82"/>
      <c r="B32" s="82"/>
      <c r="E32" s="74" t="str">
        <f>IFERROR(__xludf.DUMMYFUNCTION("""COMPUTED_VALUE"""),"#N/A")</f>
        <v>#N/A</v>
      </c>
      <c r="G32" s="82"/>
      <c r="H32" s="82"/>
      <c r="I32" s="82"/>
      <c r="J32" s="82"/>
      <c r="N32" s="74" t="str">
        <f>IFERROR(__xludf.DUMMYFUNCTION("""COMPUTED_VALUE"""),"FÍSICA")</f>
        <v>FÍSICA</v>
      </c>
      <c r="O32" s="74" t="str">
        <f>IFERROR(__xludf.DUMMYFUNCTION("""COMPUTED_VALUE"""),"Esc. Normal Superior N° 05 Gral. Don Martín Miguel de Güemes")</f>
        <v>Esc. Normal Superior N° 05 Gral. Don Martín Miguel de Güemes</v>
      </c>
    </row>
    <row r="33">
      <c r="A33" s="82"/>
      <c r="B33" s="82"/>
      <c r="E33" s="74" t="str">
        <f>IFERROR(__xludf.DUMMYFUNCTION("""COMPUTED_VALUE"""),"#N/A")</f>
        <v>#N/A</v>
      </c>
      <c r="G33" s="82"/>
      <c r="H33" s="82"/>
      <c r="I33" s="82"/>
      <c r="J33" s="82"/>
      <c r="N33" s="74" t="str">
        <f>IFERROR(__xludf.DUMMYFUNCTION("""COMPUTED_VALUE"""),"FISICOQUÍMICA")</f>
        <v>FISICOQUÍMICA</v>
      </c>
      <c r="O33" s="74" t="str">
        <f>IFERROR(__xludf.DUMMYFUNCTION("""COMPUTED_VALUE"""),"Esc. Normal Superior N° 07 José María Torres")</f>
        <v>Esc. Normal Superior N° 07 José María Torres</v>
      </c>
    </row>
    <row r="34">
      <c r="A34" s="82"/>
      <c r="B34" s="82"/>
      <c r="E34" s="74" t="str">
        <f>IFERROR(__xludf.DUMMYFUNCTION("""COMPUTED_VALUE"""),"#N/A")</f>
        <v>#N/A</v>
      </c>
      <c r="G34" s="82"/>
      <c r="H34" s="82"/>
      <c r="I34" s="82"/>
      <c r="J34" s="82"/>
      <c r="N34" s="74" t="str">
        <f>IFERROR(__xludf.DUMMYFUNCTION("""COMPUTED_VALUE"""),"FISICOQUÍMICA/FISICA")</f>
        <v>FISICOQUÍMICA/FISICA</v>
      </c>
      <c r="O34" s="74" t="str">
        <f>IFERROR(__xludf.DUMMYFUNCTION("""COMPUTED_VALUE"""),"Esc. Normal Superior N° 10 Juan Bautista Alberdi")</f>
        <v>Esc. Normal Superior N° 10 Juan Bautista Alberdi</v>
      </c>
    </row>
    <row r="35">
      <c r="A35" s="82"/>
      <c r="B35" s="82"/>
      <c r="G35" s="82"/>
      <c r="H35" s="82"/>
      <c r="I35" s="82"/>
      <c r="J35" s="82"/>
      <c r="N35" s="74" t="str">
        <f>IFERROR(__xludf.DUMMYFUNCTION("""COMPUTED_VALUE"""),"FRANCES")</f>
        <v>FRANCES</v>
      </c>
      <c r="O35" s="74" t="str">
        <f>IFERROR(__xludf.DUMMYFUNCTION("""COMPUTED_VALUE"""),"Esc. Técnica Nº 01 DE 04 Ing. Otto Krause")</f>
        <v>Esc. Técnica Nº 01 DE 04 Ing. Otto Krause</v>
      </c>
    </row>
    <row r="36">
      <c r="A36" s="82"/>
      <c r="B36" s="82"/>
      <c r="G36" s="82"/>
      <c r="H36" s="82"/>
      <c r="I36" s="82"/>
      <c r="J36" s="82"/>
      <c r="N36" s="74" t="str">
        <f>IFERROR(__xludf.DUMMYFUNCTION("""COMPUTED_VALUE"""),"FRANCÉS")</f>
        <v>FRANCÉS</v>
      </c>
      <c r="O36" s="74" t="str">
        <f>IFERROR(__xludf.DUMMYFUNCTION("""COMPUTED_VALUE"""),"Esc. Técnica Nº 03 DE 09 Maria Sanchez de Thompson")</f>
        <v>Esc. Técnica Nº 03 DE 09 Maria Sanchez de Thompson</v>
      </c>
    </row>
    <row r="37">
      <c r="A37" s="82"/>
      <c r="B37" s="82"/>
      <c r="G37" s="82"/>
      <c r="H37" s="82"/>
      <c r="I37" s="82"/>
      <c r="J37" s="82"/>
      <c r="N37" s="74" t="str">
        <f>IFERROR(__xludf.DUMMYFUNCTION("""COMPUTED_VALUE"""),"GEOGRAFÍA")</f>
        <v>GEOGRAFÍA</v>
      </c>
      <c r="O37" s="74" t="str">
        <f>IFERROR(__xludf.DUMMYFUNCTION("""COMPUTED_VALUE"""),"Esc. Técnica Nº 04 DE 05 República del Líbano")</f>
        <v>Esc. Técnica Nº 04 DE 05 República del Líbano</v>
      </c>
    </row>
    <row r="38">
      <c r="A38" s="82"/>
      <c r="B38" s="82"/>
      <c r="G38" s="82"/>
      <c r="H38" s="82"/>
      <c r="I38" s="82"/>
      <c r="J38" s="82"/>
      <c r="N38" s="74" t="str">
        <f>IFERROR(__xludf.DUMMYFUNCTION("""COMPUTED_VALUE"""),"GESTIÓN DE LAS ORGANIZACIONES CONTABLES")</f>
        <v>GESTIÓN DE LAS ORGANIZACIONES CONTABLES</v>
      </c>
      <c r="O38" s="74" t="str">
        <f>IFERROR(__xludf.DUMMYFUNCTION("""COMPUTED_VALUE"""),"Esc. Técnica Nº 05 DE 11 Maria de los Remedios de Escalada de San Martin")</f>
        <v>Esc. Técnica Nº 05 DE 11 Maria de los Remedios de Escalada de San Martin</v>
      </c>
    </row>
    <row r="39">
      <c r="A39" s="82"/>
      <c r="B39" s="82"/>
      <c r="G39" s="82"/>
      <c r="H39" s="82"/>
      <c r="I39" s="82"/>
      <c r="J39" s="82"/>
      <c r="N39" s="74" t="str">
        <f>IFERROR(__xludf.DUMMYFUNCTION("""COMPUTED_VALUE"""),"HISTORIA")</f>
        <v>HISTORIA</v>
      </c>
      <c r="O39" s="74" t="str">
        <f>IFERROR(__xludf.DUMMYFUNCTION("""COMPUTED_VALUE"""),"Esc. Técnica Nº 06 DE 12 Fernando Fader ")</f>
        <v>Esc. Técnica Nº 06 DE 12 Fernando Fader </v>
      </c>
    </row>
    <row r="40">
      <c r="A40" s="82"/>
      <c r="B40" s="82"/>
      <c r="G40" s="82"/>
      <c r="H40" s="82"/>
      <c r="I40" s="82"/>
      <c r="J40" s="82"/>
      <c r="N40" s="74" t="str">
        <f>IFERROR(__xludf.DUMMYFUNCTION("""COMPUTED_VALUE"""),"HISTORIA 1° 2° 3°             CIUDADANIA Y TRABAJO  1° 2°")</f>
        <v>HISTORIA 1° 2° 3°             CIUDADANIA Y TRABAJO  1° 2°</v>
      </c>
      <c r="O40" s="74" t="str">
        <f>IFERROR(__xludf.DUMMYFUNCTION("""COMPUTED_VALUE"""),"Esc. Técnica Nº 07 DE 05 Dolores Lavalle de Lavalle")</f>
        <v>Esc. Técnica Nº 07 DE 05 Dolores Lavalle de Lavalle</v>
      </c>
    </row>
    <row r="41">
      <c r="N41" s="74" t="str">
        <f>IFERROR(__xludf.DUMMYFUNCTION("""COMPUTED_VALUE"""),"HISTORIA CULTURAL ")</f>
        <v>HISTORIA CULTURAL </v>
      </c>
      <c r="O41" s="74" t="str">
        <f>IFERROR(__xludf.DUMMYFUNCTION("""COMPUTED_VALUE"""),"Esc. Técnica Nº 08 DE 13 Paula Albarracin de Sarmiento")</f>
        <v>Esc. Técnica Nº 08 DE 13 Paula Albarracin de Sarmiento</v>
      </c>
    </row>
    <row r="42">
      <c r="N42" s="74" t="str">
        <f>IFERROR(__xludf.DUMMYFUNCTION("""COMPUTED_VALUE"""),"HISTORIA CULTURAL LATINOAMERICANA")</f>
        <v>HISTORIA CULTURAL LATINOAMERICANA</v>
      </c>
      <c r="O42" s="74" t="str">
        <f>IFERROR(__xludf.DUMMYFUNCTION("""COMPUTED_VALUE"""),"Esc. Técnica Nº 09 DE 07 Ing. Luis A. Huergo")</f>
        <v>Esc. Técnica Nº 09 DE 07 Ing. Luis A. Huergo</v>
      </c>
    </row>
    <row r="43">
      <c r="N43" s="74" t="str">
        <f>IFERROR(__xludf.DUMMYFUNCTION("""COMPUTED_VALUE"""),"HISTORIA DE LA VIDA Y LA TIERRA")</f>
        <v>HISTORIA DE LA VIDA Y LA TIERRA</v>
      </c>
      <c r="O43" s="74" t="str">
        <f>IFERROR(__xludf.DUMMYFUNCTION("""COMPUTED_VALUE"""),"Esc. Técnica Nº 10 DE 05 Fray Luis Beltran")</f>
        <v>Esc. Técnica Nº 10 DE 05 Fray Luis Beltran</v>
      </c>
    </row>
    <row r="44">
      <c r="N44" s="74" t="str">
        <f>IFERROR(__xludf.DUMMYFUNCTION("""COMPUTED_VALUE"""),"HISTORIA ORIENTADA")</f>
        <v>HISTORIA ORIENTADA</v>
      </c>
      <c r="O44" s="74" t="str">
        <f>IFERROR(__xludf.DUMMYFUNCTION("""COMPUTED_VALUE"""),"Esc. Técnica Nº 11 DE 06 Manuel Belgrano")</f>
        <v>Esc. Técnica Nº 11 DE 06 Manuel Belgrano</v>
      </c>
    </row>
    <row r="45">
      <c r="N45" s="74" t="str">
        <f>IFERROR(__xludf.DUMMYFUNCTION("""COMPUTED_VALUE"""),"INGLÉS")</f>
        <v>INGLÉS</v>
      </c>
      <c r="O45" s="74" t="str">
        <f>IFERROR(__xludf.DUMMYFUNCTION("""COMPUTED_VALUE"""),"Esc. Técnica Nº 12 DE 01 Libertador Gral. Jose de San Martin")</f>
        <v>Esc. Técnica Nº 12 DE 01 Libertador Gral. Jose de San Martin</v>
      </c>
    </row>
    <row r="46">
      <c r="N46" s="74" t="str">
        <f>IFERROR(__xludf.DUMMYFUNCTION("""COMPUTED_VALUE"""),"INSTALACIONES")</f>
        <v>INSTALACIONES</v>
      </c>
      <c r="O46" s="74" t="str">
        <f>IFERROR(__xludf.DUMMYFUNCTION("""COMPUTED_VALUE"""),"Esc. Técnica Nº 13 DE 21 Ing. Jose Luis Delpini")</f>
        <v>Esc. Técnica Nº 13 DE 21 Ing. Jose Luis Delpini</v>
      </c>
    </row>
    <row r="47">
      <c r="N47" s="74" t="str">
        <f>IFERROR(__xludf.DUMMYFUNCTION("""COMPUTED_VALUE"""),"INSTALACIONES INDUSTRIALES")</f>
        <v>INSTALACIONES INDUSTRIALES</v>
      </c>
      <c r="O47" s="74" t="str">
        <f>IFERROR(__xludf.DUMMYFUNCTION("""COMPUTED_VALUE"""),"Esc. Técnica Nº 14 DE 05 Libertad")</f>
        <v>Esc. Técnica Nº 14 DE 05 Libertad</v>
      </c>
    </row>
    <row r="48">
      <c r="N48" s="74" t="str">
        <f>IFERROR(__xludf.DUMMYFUNCTION("""COMPUTED_VALUE"""),"INTRO. A LAS CS. SOCIALES")</f>
        <v>INTRO. A LAS CS. SOCIALES</v>
      </c>
      <c r="O48" s="74" t="str">
        <f>IFERROR(__xludf.DUMMYFUNCTION("""COMPUTED_VALUE"""),"Esc. Técnica Nº 20 DE 20")</f>
        <v>Esc. Técnica Nº 20 DE 20</v>
      </c>
    </row>
    <row r="49">
      <c r="N49" s="74" t="str">
        <f>IFERROR(__xludf.DUMMYFUNCTION("""COMPUTED_VALUE"""),"LABORATORIO AMBIENTADO A OBJETOS ")</f>
        <v>LABORATORIO AMBIENTADO A OBJETOS </v>
      </c>
      <c r="O49" s="74" t="str">
        <f>IFERROR(__xludf.DUMMYFUNCTION("""COMPUTED_VALUE"""),"Esc. Técnica Nº 24 DE 17 Defensa de Buenos Aires")</f>
        <v>Esc. Técnica Nº 24 DE 17 Defensa de Buenos Aires</v>
      </c>
    </row>
    <row r="50">
      <c r="N50" s="74" t="str">
        <f>IFERROR(__xludf.DUMMYFUNCTION("""COMPUTED_VALUE"""),"LABORATORIO DE MATEMÁTICA")</f>
        <v>LABORATORIO DE MATEMÁTICA</v>
      </c>
      <c r="O50" s="74" t="str">
        <f>IFERROR(__xludf.DUMMYFUNCTION("""COMPUTED_VALUE"""),"Esc. Técnica Nº 25 DE 06 Tte. 1º de Artillería Fray Luis Beltrán")</f>
        <v>Esc. Técnica Nº 25 DE 06 Tte. 1º de Artillería Fray Luis Beltrán</v>
      </c>
    </row>
    <row r="51">
      <c r="N51" s="74" t="str">
        <f>IFERROR(__xludf.DUMMYFUNCTION("""COMPUTED_VALUE"""),"LABORATORIO DE MEDICIONES ELÉCTRICAS II")</f>
        <v>LABORATORIO DE MEDICIONES ELÉCTRICAS II</v>
      </c>
      <c r="O51" s="74" t="str">
        <f>IFERROR(__xludf.DUMMYFUNCTION("""COMPUTED_VALUE"""),"Esc. Técnica Nº 27 DE 18 Hipolito Yrigoyen")</f>
        <v>Esc. Técnica Nº 27 DE 18 Hipolito Yrigoyen</v>
      </c>
    </row>
    <row r="52">
      <c r="N52" s="74" t="str">
        <f>IFERROR(__xludf.DUMMYFUNCTION("""COMPUTED_VALUE"""),"LENGUA Y LITERATURA")</f>
        <v>LENGUA Y LITERATURA</v>
      </c>
      <c r="O52" s="74" t="str">
        <f>IFERROR(__xludf.DUMMYFUNCTION("""COMPUTED_VALUE"""),"Esc. Técnica Nº 29 DE 06 Reconquista de Buenos Aires")</f>
        <v>Esc. Técnica Nº 29 DE 06 Reconquista de Buenos Aires</v>
      </c>
    </row>
    <row r="53">
      <c r="N53" s="74" t="str">
        <f>IFERROR(__xludf.DUMMYFUNCTION("""COMPUTED_VALUE"""),"LENGUA Y LITERATURA 1° 2° 3°")</f>
        <v>LENGUA Y LITERATURA 1° 2° 3°</v>
      </c>
      <c r="O53" s="74" t="str">
        <f>IFERROR(__xludf.DUMMYFUNCTION("""COMPUTED_VALUE"""),"Esc. Técnica Nº 30 DE 02 Dr. Norberto Piñero")</f>
        <v>Esc. Técnica Nº 30 DE 02 Dr. Norberto Piñero</v>
      </c>
    </row>
    <row r="54">
      <c r="N54" s="74" t="str">
        <f>IFERROR(__xludf.DUMMYFUNCTION("""COMPUTED_VALUE"""),"MATEMÁTICA")</f>
        <v>MATEMÁTICA</v>
      </c>
      <c r="O54" s="74" t="str">
        <f>IFERROR(__xludf.DUMMYFUNCTION("""COMPUTED_VALUE"""),"Esc. Técnica Nº 32 DE 14 Gral. Jose de San Martin")</f>
        <v>Esc. Técnica Nº 32 DE 14 Gral. Jose de San Martin</v>
      </c>
    </row>
    <row r="55">
      <c r="N55" s="74" t="str">
        <f>IFERROR(__xludf.DUMMYFUNCTION("""COMPUTED_VALUE"""),"MATEMÁTICA   1° 2° 3°")</f>
        <v>MATEMÁTICA   1° 2° 3°</v>
      </c>
      <c r="O55" s="74" t="str">
        <f>IFERROR(__xludf.DUMMYFUNCTION("""COMPUTED_VALUE"""),"Esc. Técnica Nº 33 DE 19 Fundición Maestranza del Plumerillo ")</f>
        <v>Esc. Técnica Nº 33 DE 19 Fundición Maestranza del Plumerillo </v>
      </c>
    </row>
    <row r="56">
      <c r="N56" s="74" t="str">
        <f>IFERROR(__xludf.DUMMYFUNCTION("""COMPUTED_VALUE"""),"MATEMÁTICA PARA LA FÍSICA")</f>
        <v>MATEMÁTICA PARA LA FÍSICA</v>
      </c>
      <c r="O56" s="74" t="str">
        <f>IFERROR(__xludf.DUMMYFUNCTION("""COMPUTED_VALUE"""),"Esc. Técnica Nº 34 DE 09 Ing. Enrique Martin Hermitte")</f>
        <v>Esc. Técnica Nº 34 DE 09 Ing. Enrique Martin Hermitte</v>
      </c>
    </row>
    <row r="57">
      <c r="N57" s="74" t="str">
        <f>IFERROR(__xludf.DUMMYFUNCTION("""COMPUTED_VALUE"""),"MATEMÁTICAS FINANCIERA 4°")</f>
        <v>MATEMÁTICAS FINANCIERA 4°</v>
      </c>
      <c r="O57" s="74" t="str">
        <f>IFERROR(__xludf.DUMMYFUNCTION("""COMPUTED_VALUE"""),"Esc. Técnica Nº 36 DE 15 Alte. Guillermo Brown")</f>
        <v>Esc. Técnica Nº 36 DE 15 Alte. Guillermo Brown</v>
      </c>
    </row>
    <row r="58">
      <c r="N58" s="74" t="str">
        <f>IFERROR(__xludf.DUMMYFUNCTION("""COMPUTED_VALUE"""),"METALURGIA ")</f>
        <v>METALURGIA </v>
      </c>
      <c r="O58" s="74" t="str">
        <f>IFERROR(__xludf.DUMMYFUNCTION("""COMPUTED_VALUE"""),"Escuela Normal Superior en Lenguas Vivas N° 1  Roque Sáenz Peña")</f>
        <v>Escuela Normal Superior en Lenguas Vivas N° 1  Roque Sáenz Peña</v>
      </c>
    </row>
    <row r="59">
      <c r="N59" s="74" t="str">
        <f>IFERROR(__xludf.DUMMYFUNCTION("""COMPUTED_VALUE"""),"ORGANIZACIONES")</f>
        <v>ORGANIZACIONES</v>
      </c>
      <c r="O59" s="74" t="str">
        <f>IFERROR(__xludf.DUMMYFUNCTION("""COMPUTED_VALUE"""),"Escuelas Técnicas Raggio")</f>
        <v>Escuelas Técnicas Raggio</v>
      </c>
    </row>
    <row r="60">
      <c r="N60" s="74" t="str">
        <f>IFERROR(__xludf.DUMMYFUNCTION("""COMPUTED_VALUE"""),"PROYECTO")</f>
        <v>PROYECTO</v>
      </c>
      <c r="O60" s="74" t="str">
        <f>IFERROR(__xludf.DUMMYFUNCTION("""COMPUTED_VALUE"""),"ESEA en Artes Visuales Manuel Belgrano")</f>
        <v>ESEA en Artes Visuales Manuel Belgrano</v>
      </c>
    </row>
    <row r="61">
      <c r="N61" s="74" t="str">
        <f>IFERROR(__xludf.DUMMYFUNCTION("""COMPUTED_VALUE"""),"PROYECTO DE COMUNICACIÓN")</f>
        <v>PROYECTO DE COMUNICACIÓN</v>
      </c>
      <c r="O61" s="74" t="str">
        <f>IFERROR(__xludf.DUMMYFUNCTION("""COMPUTED_VALUE"""),"IES en Lenguas Vivas Juan Ramón Fernández")</f>
        <v>IES en Lenguas Vivas Juan Ramón Fernández</v>
      </c>
    </row>
    <row r="62">
      <c r="N62" s="74" t="str">
        <f>IFERROR(__xludf.DUMMYFUNCTION("""COMPUTED_VALUE"""),"PROYECTO INFORMATICO 1 Y 2")</f>
        <v>PROYECTO INFORMATICO 1 Y 2</v>
      </c>
      <c r="O62" s="74" t="str">
        <f>IFERROR(__xludf.DUMMYFUNCTION("""COMPUTED_VALUE"""),"Liceo Nº 05 DE 11 Pascual Guaglianone")</f>
        <v>Liceo Nº 05 DE 11 Pascual Guaglianone</v>
      </c>
    </row>
    <row r="63">
      <c r="N63" s="74" t="str">
        <f>IFERROR(__xludf.DUMMYFUNCTION("""COMPUTED_VALUE"""),"PSICOLOGÍA ")</f>
        <v>PSICOLOGÍA </v>
      </c>
      <c r="O63" s="74" t="str">
        <f>IFERROR(__xludf.DUMMYFUNCTION("""COMPUTED_VALUE"""),"Liceo Nº 12 DE 08 Fray Mamerto Esquiú")</f>
        <v>Liceo Nº 12 DE 08 Fray Mamerto Esquiú</v>
      </c>
    </row>
    <row r="64">
      <c r="N64" s="74" t="str">
        <f>IFERROR(__xludf.DUMMYFUNCTION("""COMPUTED_VALUE"""),"QUÍIMCA - 3° 5°                         QUÍMICA INORGÁNICA 4°  QUÍMICA GENERAL 4°")</f>
        <v>QUÍIMCA - 3° 5°                         QUÍMICA INORGÁNICA 4°  QUÍMICA GENERAL 4°</v>
      </c>
    </row>
    <row r="65">
      <c r="N65" s="74" t="str">
        <f>IFERROR(__xludf.DUMMYFUNCTION("""COMPUTED_VALUE"""),"QUÍMICA")</f>
        <v>QUÍMICA</v>
      </c>
    </row>
    <row r="66">
      <c r="N66" s="74" t="str">
        <f>IFERROR(__xludf.DUMMYFUNCTION("""COMPUTED_VALUE"""),"QUIMICA 3°")</f>
        <v>QUIMICA 3°</v>
      </c>
    </row>
    <row r="67">
      <c r="N67" s="74" t="str">
        <f>IFERROR(__xludf.DUMMYFUNCTION("""COMPUTED_VALUE"""),"QUIMICA GENERAL ")</f>
        <v>QUIMICA GENERAL </v>
      </c>
    </row>
    <row r="68">
      <c r="N68" s="74" t="str">
        <f>IFERROR(__xludf.DUMMYFUNCTION("""COMPUTED_VALUE"""),"QUIMICA ORGANICA I ")</f>
        <v>QUIMICA ORGANICA I </v>
      </c>
    </row>
    <row r="69">
      <c r="N69" s="74" t="str">
        <f>IFERROR(__xludf.DUMMYFUNCTION("""COMPUTED_VALUE"""),"REDES")</f>
        <v>REDES</v>
      </c>
    </row>
    <row r="70">
      <c r="N70" s="74" t="str">
        <f>IFERROR(__xludf.DUMMYFUNCTION("""COMPUTED_VALUE"""),"SERVICIOS TURISTICOS")</f>
        <v>SERVICIOS TURISTICOS</v>
      </c>
    </row>
    <row r="71">
      <c r="N71" s="74" t="str">
        <f>IFERROR(__xludf.DUMMYFUNCTION("""COMPUTED_VALUE"""),"SIST. ADMINISTRATIVOS")</f>
        <v>SIST. ADMINISTRATIVOS</v>
      </c>
    </row>
    <row r="72">
      <c r="N72" s="74" t="str">
        <f>IFERROR(__xludf.DUMMYFUNCTION("""COMPUTED_VALUE"""),"SIST. DE ELEVACIÓN Y TRANSPORTE")</f>
        <v>SIST. DE ELEVACIÓN Y TRANSPORTE</v>
      </c>
    </row>
    <row r="73">
      <c r="N73" s="74" t="str">
        <f>IFERROR(__xludf.DUMMYFUNCTION("""COMPUTED_VALUE"""),"SIST. DE INFO. CONTABLES")</f>
        <v>SIST. DE INFO. CONTABLES</v>
      </c>
    </row>
    <row r="74">
      <c r="N74" s="74" t="str">
        <f>IFERROR(__xludf.DUMMYFUNCTION("""COMPUTED_VALUE"""),"SOCIALES
(FEC - GEO - HIST)")</f>
        <v>SOCIALES
(FEC - GEO - HIST)</v>
      </c>
    </row>
    <row r="75">
      <c r="N75" s="74" t="str">
        <f>IFERROR(__xludf.DUMMYFUNCTION("""COMPUTED_VALUE"""),"SOCIALES 
( GEO - HIST)")</f>
        <v>SOCIALES 
( GEO - HIST)</v>
      </c>
    </row>
    <row r="76">
      <c r="N76" s="74" t="str">
        <f>IFERROR(__xludf.DUMMYFUNCTION("""COMPUTED_VALUE"""),"SOCIALES 
(FEC - GEO - HIST - DER)")</f>
        <v>SOCIALES 
(FEC - GEO - HIST - DER)</v>
      </c>
    </row>
    <row r="77">
      <c r="N77" s="74" t="str">
        <f>IFERROR(__xludf.DUMMYFUNCTION("""COMPUTED_VALUE"""),"SOCIALES 
(FEC - GEO - HIST - HIST DE LA VIDA Y LA TIERRA)")</f>
        <v>SOCIALES 
(FEC - GEO - HIST - HIST DE LA VIDA Y LA TIERRA)</v>
      </c>
    </row>
    <row r="78">
      <c r="N78" s="74" t="str">
        <f>IFERROR(__xludf.DUMMYFUNCTION("""COMPUTED_VALUE"""),"SOCIALES 
(FEC - GEO - HIST - HIST DE VyT - DER)")</f>
        <v>SOCIALES 
(FEC - GEO - HIST - HIST DE VyT - DER)</v>
      </c>
    </row>
    <row r="79">
      <c r="N79" s="74" t="str">
        <f>IFERROR(__xludf.DUMMYFUNCTION("""COMPUTED_VALUE"""),"SOCIALES 
(FEC - GEO - HIST -DER)")</f>
        <v>SOCIALES 
(FEC - GEO - HIST -DER)</v>
      </c>
    </row>
    <row r="80">
      <c r="N80" s="74" t="str">
        <f>IFERROR(__xludf.DUMMYFUNCTION("""COMPUTED_VALUE"""),"SOCIALES 
(FEC - GEO - HIST )")</f>
        <v>SOCIALES 
(FEC - GEO - HIST )</v>
      </c>
    </row>
    <row r="81">
      <c r="N81" s="74" t="str">
        <f>IFERROR(__xludf.DUMMYFUNCTION("""COMPUTED_VALUE"""),"SOCIALES 
(FEC - GEO - HIST CULT LAT - HIST ORIENTADA)")</f>
        <v>SOCIALES 
(FEC - GEO - HIST CULT LAT - HIST ORIENTADA)</v>
      </c>
    </row>
    <row r="82">
      <c r="N82" s="74" t="str">
        <f>IFERROR(__xludf.DUMMYFUNCTION("""COMPUTED_VALUE"""),"SOCIALES 
(FEC - GEO - HIST- DER)")</f>
        <v>SOCIALES 
(FEC - GEO - HIST- DER)</v>
      </c>
    </row>
    <row r="83">
      <c r="N83" s="74" t="str">
        <f>IFERROR(__xludf.DUMMYFUNCTION("""COMPUTED_VALUE"""),"SOCIALES 
(FEC - GEO - HIST)")</f>
        <v>SOCIALES 
(FEC - GEO - HIST)</v>
      </c>
    </row>
    <row r="84">
      <c r="N84" s="74" t="str">
        <f>IFERROR(__xludf.DUMMYFUNCTION("""COMPUTED_VALUE"""),"SOCIALES 
(FEC - GEO)")</f>
        <v>SOCIALES 
(FEC - GEO)</v>
      </c>
    </row>
    <row r="85">
      <c r="N85" s="74" t="str">
        <f>IFERROR(__xludf.DUMMYFUNCTION("""COMPUTED_VALUE"""),"SOCIALES 
(FEC - HIST  )")</f>
        <v>SOCIALES 
(FEC - HIST  )</v>
      </c>
    </row>
    <row r="86">
      <c r="N86" s="74" t="str">
        <f>IFERROR(__xludf.DUMMYFUNCTION("""COMPUTED_VALUE"""),"SOCIALES 
(FEC - HIST - DER)")</f>
        <v>SOCIALES 
(FEC - HIST - DER)</v>
      </c>
    </row>
    <row r="87">
      <c r="N87" s="74" t="str">
        <f>IFERROR(__xludf.DUMMYFUNCTION("""COMPUTED_VALUE"""),"SOCIALES 
(FEC - HIST)")</f>
        <v>SOCIALES 
(FEC - HIST)</v>
      </c>
    </row>
    <row r="88">
      <c r="N88" s="74" t="str">
        <f>IFERROR(__xludf.DUMMYFUNCTION("""COMPUTED_VALUE"""),"SOCIALES 
(GEO - HIST - FEC)")</f>
        <v>SOCIALES 
(GEO - HIST - FEC)</v>
      </c>
    </row>
    <row r="89">
      <c r="N89" s="74" t="str">
        <f>IFERROR(__xludf.DUMMYFUNCTION("""COMPUTED_VALUE"""),"SOCIALES 
(GEO)")</f>
        <v>SOCIALES 
(GEO)</v>
      </c>
    </row>
    <row r="90">
      <c r="N90" s="74" t="str">
        <f>IFERROR(__xludf.DUMMYFUNCTION("""COMPUTED_VALUE"""),"SOCIALES 
(HIST - FEC - DER)")</f>
        <v>SOCIALES 
(HIST - FEC - DER)</v>
      </c>
    </row>
    <row r="91">
      <c r="N91" s="74" t="str">
        <f>IFERROR(__xludf.DUMMYFUNCTION("""COMPUTED_VALUE"""),"Sociedad y Estado")</f>
        <v>Sociedad y Estado</v>
      </c>
    </row>
    <row r="92">
      <c r="N92" s="74" t="str">
        <f>IFERROR(__xludf.DUMMYFUNCTION("""COMPUTED_VALUE"""),"TALLER DE RADIO")</f>
        <v>TALLER DE RADIO</v>
      </c>
    </row>
    <row r="93">
      <c r="N93" s="74" t="str">
        <f>IFERROR(__xludf.DUMMYFUNCTION("""COMPUTED_VALUE"""),"TALLER GRAFICA ")</f>
        <v>TALLER GRAFICA </v>
      </c>
    </row>
    <row r="94">
      <c r="N94" s="74" t="str">
        <f>IFERROR(__xludf.DUMMYFUNCTION("""COMPUTED_VALUE"""),"TECNOLOGÍA DE LA INFORMACIÓN")</f>
        <v>TECNOLOGÍA DE LA INFORMACIÓN</v>
      </c>
    </row>
    <row r="95">
      <c r="N95" s="74" t="str">
        <f>IFERROR(__xludf.DUMMYFUNCTION("""COMPUTED_VALUE"""),"TECNOLOGÍA DE LA REPRESENTACIÓN")</f>
        <v>TECNOLOGÍA DE LA REPRESENTACIÓN</v>
      </c>
    </row>
    <row r="96">
      <c r="N96" s="74" t="str">
        <f>IFERROR(__xludf.DUMMYFUNCTION("""COMPUTED_VALUE"""),"TEORÍA DE LAS ORGANIZACIONES")</f>
        <v>TEORÍA DE LAS ORGANIZACIONES</v>
      </c>
    </row>
    <row r="97">
      <c r="N97" s="74" t="str">
        <f>IFERROR(__xludf.DUMMYFUNCTION("""COMPUTED_VALUE"""),"TERMODINÁMICA")</f>
        <v>TERMODINÁMICA</v>
      </c>
    </row>
    <row r="98">
      <c r="N98" s="74" t="str">
        <f>IFERROR(__xludf.DUMMYFUNCTION("""COMPUTED_VALUE"""),"TP DE QUÍMICA ANALÍTICA CUALITATIVA 5°")</f>
        <v>TP DE QUÍMICA ANALÍTICA CUALITATIVA 5°</v>
      </c>
    </row>
    <row r="99">
      <c r="N99" s="74" t="str">
        <f>IFERROR(__xludf.DUMMYFUNCTION("""COMPUTED_VALUE"""),"TP DE QUÍMICA INORGÁNICA 4°")</f>
        <v>TP DE QUÍMICA INORGÁNICA 4°</v>
      </c>
    </row>
    <row r="100">
      <c r="N100" s="74" t="str">
        <f>IFERROR(__xludf.DUMMYFUNCTION("""COMPUTED_VALUE"""),"TURISMO Y SOCIEDAD ")</f>
        <v>TURISMO Y SOCIEDAD </v>
      </c>
    </row>
    <row r="101">
      <c r="N101" s="74" t="str">
        <f>IFERROR(__xludf.DUMMYFUNCTION("""COMPUTED_VALUE"""),"TURISMO Y TERRITORIO")</f>
        <v>TURISMO Y TERRITORIO</v>
      </c>
    </row>
    <row r="102">
      <c r="N102" s="74"/>
    </row>
  </sheetData>
  <mergeCells count="2">
    <mergeCell ref="A1:B1"/>
    <mergeCell ref="G1:J1"/>
  </mergeCells>
  <dataValidations>
    <dataValidation type="list" allowBlank="1" showErrorMessage="1" sqref="A3">
      <formula1>'buscador-materias'!$O:$O</formula1>
    </dataValidation>
    <dataValidation type="list" allowBlank="1" showErrorMessage="1" sqref="D3 G3:G5">
      <formula1>'buscador-materias'!$N:$N</formula1>
    </dataValidation>
  </dataValidations>
  <drawing r:id="rId1"/>
</worksheet>
</file>